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515" windowHeight="12075" activeTab="1"/>
  </bookViews>
  <sheets>
    <sheet name="GASTOS" sheetId="1" r:id="rId1"/>
    <sheet name="INGRESOS" sheetId="2" r:id="rId2"/>
    <sheet name="Hoja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D119" i="2"/>
  <c r="C117"/>
  <c r="C111"/>
  <c r="D109"/>
  <c r="D108"/>
  <c r="D107"/>
  <c r="D101"/>
  <c r="C97"/>
  <c r="C120" s="1"/>
  <c r="D85"/>
  <c r="D83"/>
  <c r="D81"/>
  <c r="D80"/>
  <c r="D79"/>
  <c r="D95" s="1"/>
  <c r="D8" s="1"/>
  <c r="D74"/>
  <c r="C31"/>
  <c r="D30"/>
  <c r="D27"/>
  <c r="D26"/>
  <c r="C21"/>
  <c r="D19"/>
  <c r="D21" s="1"/>
  <c r="D5" s="1"/>
  <c r="D14"/>
  <c r="C14"/>
  <c r="C13"/>
  <c r="C15" s="1"/>
  <c r="D11"/>
  <c r="D9"/>
  <c r="D7"/>
  <c r="C1763" i="1"/>
  <c r="C1758"/>
  <c r="C1752"/>
  <c r="C1749"/>
  <c r="C1742"/>
  <c r="C1736"/>
  <c r="C1717"/>
  <c r="C1703"/>
  <c r="C1700"/>
  <c r="C1690"/>
  <c r="C1688"/>
  <c r="C1687"/>
  <c r="C1686"/>
  <c r="C1681"/>
  <c r="C1691" s="1"/>
  <c r="C1677"/>
  <c r="C1672"/>
  <c r="C1668"/>
  <c r="C1662"/>
  <c r="C1650"/>
  <c r="C1645"/>
  <c r="C1637"/>
  <c r="C1620"/>
  <c r="C1615"/>
  <c r="C1609"/>
  <c r="C1596"/>
  <c r="C1587"/>
  <c r="C1583"/>
  <c r="C1577"/>
  <c r="C1567"/>
  <c r="C1564"/>
  <c r="C1556"/>
  <c r="C1552"/>
  <c r="C1548"/>
  <c r="C1538"/>
  <c r="C1522"/>
  <c r="C1515"/>
  <c r="C1514"/>
  <c r="C1517" s="1"/>
  <c r="C1512"/>
  <c r="C1498"/>
  <c r="C1497"/>
  <c r="C1490"/>
  <c r="C1488"/>
  <c r="C1509" s="1"/>
  <c r="C1487"/>
  <c r="C1482"/>
  <c r="C1479"/>
  <c r="C1478"/>
  <c r="C1477"/>
  <c r="C1476"/>
  <c r="C1475"/>
  <c r="C1473"/>
  <c r="C1472"/>
  <c r="C1483" s="1"/>
  <c r="C1470"/>
  <c r="C1466"/>
  <c r="C1461"/>
  <c r="C1446"/>
  <c r="C1432"/>
  <c r="C1437" s="1"/>
  <c r="C1426"/>
  <c r="C1417"/>
  <c r="C1400"/>
  <c r="C1396"/>
  <c r="C1395"/>
  <c r="C1394"/>
  <c r="C1392"/>
  <c r="C1401" s="1"/>
  <c r="C1388"/>
  <c r="C1382"/>
  <c r="C1368"/>
  <c r="C1367"/>
  <c r="C1379" s="1"/>
  <c r="C1364"/>
  <c r="C1342"/>
  <c r="C1361" s="1"/>
  <c r="C1335"/>
  <c r="C1336" s="1"/>
  <c r="C1333"/>
  <c r="C1328"/>
  <c r="C1325"/>
  <c r="C1317"/>
  <c r="C1314"/>
  <c r="C1318" s="1"/>
  <c r="C1312"/>
  <c r="C1299"/>
  <c r="C1294"/>
  <c r="C1289"/>
  <c r="C1282"/>
  <c r="C1276"/>
  <c r="C1269"/>
  <c r="C1254"/>
  <c r="C1247"/>
  <c r="C1243"/>
  <c r="C1237"/>
  <c r="C1230"/>
  <c r="C1213"/>
  <c r="C1204"/>
  <c r="C1203"/>
  <c r="C1201"/>
  <c r="C1196"/>
  <c r="C1189"/>
  <c r="C1218" s="1"/>
  <c r="C1180"/>
  <c r="C1178"/>
  <c r="C1177"/>
  <c r="C1176"/>
  <c r="C1175"/>
  <c r="C1174"/>
  <c r="C1181" s="1"/>
  <c r="C1169"/>
  <c r="C1165"/>
  <c r="C1162"/>
  <c r="C1156"/>
  <c r="C1149"/>
  <c r="C1144"/>
  <c r="C1138"/>
  <c r="C1126"/>
  <c r="C1111"/>
  <c r="C1112" s="1"/>
  <c r="C11" s="1"/>
  <c r="C1108"/>
  <c r="C1104"/>
  <c r="C1101"/>
  <c r="C1095"/>
  <c r="C1091"/>
  <c r="C1085"/>
  <c r="C1077"/>
  <c r="C1074"/>
  <c r="C1055"/>
  <c r="C1049"/>
  <c r="C1046"/>
  <c r="C1034"/>
  <c r="C1030"/>
  <c r="C1027"/>
  <c r="C1018"/>
  <c r="C1015"/>
  <c r="C1014"/>
  <c r="C1010"/>
  <c r="C1004"/>
  <c r="C996"/>
  <c r="C985"/>
  <c r="C982"/>
  <c r="C981"/>
  <c r="C975"/>
  <c r="C969"/>
  <c r="C954"/>
  <c r="C971" s="1"/>
  <c r="C952"/>
  <c r="C934"/>
  <c r="C930"/>
  <c r="C923"/>
  <c r="C914"/>
  <c r="C911"/>
  <c r="C862"/>
  <c r="C836"/>
  <c r="C822"/>
  <c r="C819"/>
  <c r="C823" s="1"/>
  <c r="C818"/>
  <c r="C808"/>
  <c r="C805"/>
  <c r="C799"/>
  <c r="C789"/>
  <c r="C793" s="1"/>
  <c r="C777"/>
  <c r="C757"/>
  <c r="C752"/>
  <c r="C747"/>
  <c r="C742"/>
  <c r="C739"/>
  <c r="C732"/>
  <c r="C710"/>
  <c r="C692"/>
  <c r="C675"/>
  <c r="C672"/>
  <c r="C639"/>
  <c r="C620"/>
  <c r="C616"/>
  <c r="C607"/>
  <c r="C604"/>
  <c r="C596"/>
  <c r="C593"/>
  <c r="C592"/>
  <c r="C589"/>
  <c r="C582"/>
  <c r="C571"/>
  <c r="C569"/>
  <c r="C568"/>
  <c r="C567"/>
  <c r="C566"/>
  <c r="C565"/>
  <c r="C563"/>
  <c r="C572" s="1"/>
  <c r="C557"/>
  <c r="C556"/>
  <c r="C551"/>
  <c r="C542"/>
  <c r="C531"/>
  <c r="C520"/>
  <c r="C515"/>
  <c r="C510"/>
  <c r="C491"/>
  <c r="C487"/>
  <c r="C486"/>
  <c r="C485"/>
  <c r="C484"/>
  <c r="C483"/>
  <c r="C481"/>
  <c r="C492" s="1"/>
  <c r="C475"/>
  <c r="C474"/>
  <c r="C472"/>
  <c r="C467"/>
  <c r="C466"/>
  <c r="C464"/>
  <c r="C468" s="1"/>
  <c r="C462"/>
  <c r="C460"/>
  <c r="C444"/>
  <c r="C424"/>
  <c r="C421"/>
  <c r="C420"/>
  <c r="C416"/>
  <c r="C412"/>
  <c r="C417" s="1"/>
  <c r="C411"/>
  <c r="C403"/>
  <c r="C401"/>
  <c r="C396"/>
  <c r="C395"/>
  <c r="C394"/>
  <c r="C393"/>
  <c r="C392"/>
  <c r="C391"/>
  <c r="C389"/>
  <c r="C388"/>
  <c r="C387"/>
  <c r="C386"/>
  <c r="C385"/>
  <c r="C384"/>
  <c r="C382"/>
  <c r="C381"/>
  <c r="C380"/>
  <c r="C379"/>
  <c r="C378"/>
  <c r="C377"/>
  <c r="C376"/>
  <c r="C375"/>
  <c r="C374"/>
  <c r="C373"/>
  <c r="C368"/>
  <c r="C366"/>
  <c r="C397" s="1"/>
  <c r="C365"/>
  <c r="C363"/>
  <c r="C362"/>
  <c r="C357"/>
  <c r="C351"/>
  <c r="C347"/>
  <c r="C344"/>
  <c r="C302"/>
  <c r="C290"/>
  <c r="C287"/>
  <c r="C281"/>
  <c r="C265"/>
  <c r="C262"/>
  <c r="C251"/>
  <c r="C243"/>
  <c r="C240"/>
  <c r="C235"/>
  <c r="C229"/>
  <c r="C220"/>
  <c r="C217"/>
  <c r="C211"/>
  <c r="C202"/>
  <c r="C178"/>
  <c r="C175"/>
  <c r="C174"/>
  <c r="C173"/>
  <c r="C172"/>
  <c r="C171"/>
  <c r="C170"/>
  <c r="C167"/>
  <c r="C166"/>
  <c r="C165"/>
  <c r="C179" s="1"/>
  <c r="C161"/>
  <c r="C149"/>
  <c r="C158" s="1"/>
  <c r="C6" s="1"/>
  <c r="C137"/>
  <c r="C141" s="1"/>
  <c r="C131"/>
  <c r="C133" s="1"/>
  <c r="C8" s="1"/>
  <c r="C129"/>
  <c r="C114"/>
  <c r="C98"/>
  <c r="C94"/>
  <c r="C81"/>
  <c r="C79"/>
  <c r="C78"/>
  <c r="C77"/>
  <c r="C75"/>
  <c r="C72"/>
  <c r="C82" s="1"/>
  <c r="C5" s="1"/>
  <c r="C68"/>
  <c r="C65"/>
  <c r="C60"/>
  <c r="C54"/>
  <c r="C50"/>
  <c r="C35"/>
  <c r="C29"/>
  <c r="C30" s="1"/>
  <c r="C27"/>
  <c r="C24"/>
  <c r="C16"/>
  <c r="C14"/>
  <c r="C12"/>
  <c r="C9"/>
  <c r="C7"/>
  <c r="D37" i="2" l="1"/>
  <c r="D111"/>
  <c r="D10" s="1"/>
  <c r="D6"/>
  <c r="D13" s="1"/>
  <c r="C10" i="1"/>
  <c r="C15" s="1"/>
  <c r="C17" s="1"/>
  <c r="D15" i="2" l="1"/>
</calcChain>
</file>

<file path=xl/comments1.xml><?xml version="1.0" encoding="utf-8"?>
<comments xmlns="http://schemas.openxmlformats.org/spreadsheetml/2006/main">
  <authors>
    <author>veve</author>
    <author>jorge.lorenzo</author>
  </authors>
  <commentList>
    <comment ref="C443" authorId="0">
      <text>
        <r>
          <rPr>
            <b/>
            <sz val="10"/>
            <color indexed="81"/>
            <rFont val="Tahoma"/>
            <family val="2"/>
          </rPr>
          <t>JORGE</t>
        </r>
        <r>
          <rPr>
            <sz val="10"/>
            <color indexed="81"/>
            <rFont val="Tahoma"/>
            <family val="2"/>
          </rPr>
          <t xml:space="preserve">
comprende 270.258,69
 € para proy.143.02 a 143.09</t>
        </r>
      </text>
    </comment>
    <comment ref="C1485" authorId="0">
      <text>
        <r>
          <rPr>
            <b/>
            <sz val="10"/>
            <color indexed="81"/>
            <rFont val="Tahoma"/>
            <family val="2"/>
          </rPr>
          <t>veve:</t>
        </r>
        <r>
          <rPr>
            <sz val="10"/>
            <color indexed="81"/>
            <rFont val="Tahoma"/>
            <family val="2"/>
          </rPr>
          <t xml:space="preserve">
comprende 45.000 € contrato + ampliacion Codican; y contrato fotocopiadoras conserjes</t>
        </r>
      </text>
    </comment>
    <comment ref="C1487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SERV JUR + PATRIMONIO+ADM GENERAL</t>
        </r>
      </text>
    </comment>
    <comment ref="C1488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SERV JURID+PATRIMONIO+PRESIDENCIA</t>
        </r>
      </text>
    </comment>
    <comment ref="C1490" authorId="1">
      <text>
        <r>
          <rPr>
            <b/>
            <sz val="9"/>
            <color indexed="81"/>
            <rFont val="Tahoma"/>
            <family val="2"/>
          </rPr>
          <t>jorge.lorenzo
ORGANIZACIÓN + PRESIDENCIA</t>
        </r>
      </text>
    </comment>
    <comment ref="C1497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SERV JURID+PRESIDENCIA</t>
        </r>
      </text>
    </comment>
    <comment ref="C1499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CONTRATACIÓN + PATRIMONIO</t>
        </r>
      </text>
    </comment>
    <comment ref="C1500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GASTOS NOTARIA, REGISTRO E INVENTARIO 10000 €</t>
        </r>
      </text>
    </comment>
    <comment ref="C1502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4000 SERV JUR</t>
        </r>
      </text>
    </comment>
    <comment ref="C1504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PATRIMONIO+PRESIDENCIA</t>
        </r>
      </text>
    </comment>
    <comment ref="C1505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+ PRESIDENCIA</t>
        </r>
      </text>
    </comment>
    <comment ref="C1508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LOCOMOCIÓN SERV. JUR</t>
        </r>
      </text>
    </comment>
    <comment ref="C1514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SERV JURID+PATRIMONIO+PRESIDENCIA</t>
        </r>
      </text>
    </comment>
    <comment ref="C1515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SERV JURID+PATRIMONIO+PRESIDENCIA</t>
        </r>
      </text>
    </comment>
  </commentList>
</comments>
</file>

<file path=xl/comments2.xml><?xml version="1.0" encoding="utf-8"?>
<comments xmlns="http://schemas.openxmlformats.org/spreadsheetml/2006/main">
  <authors>
    <author>jorge.lorenzo</author>
  </authors>
  <commentList>
    <comment ref="D83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entrega a cta 2019 28.201.249,00 € menos liq neg 2008-2009 -632.379,81 € más 2.174.796,41 € liq positiva 2017</t>
        </r>
      </text>
    </comment>
  </commentList>
</comments>
</file>

<file path=xl/sharedStrings.xml><?xml version="1.0" encoding="utf-8"?>
<sst xmlns="http://schemas.openxmlformats.org/spreadsheetml/2006/main" count="1636" uniqueCount="1110">
  <si>
    <t xml:space="preserve">       PRESUPUESTO GENERAL DEL EXCMO. CABILDO INSULAR 2019</t>
  </si>
  <si>
    <t>G A S T O S</t>
  </si>
  <si>
    <t>DETALLE AL QUE CORRESPONDE CADA SOMBREADO</t>
  </si>
  <si>
    <t>EUROS</t>
  </si>
  <si>
    <t>CAPÍTULO 1. GASTOS DE PERSONAL.</t>
  </si>
  <si>
    <t>CAPÍTULO 2. GASTOS CORRIENTES EN BIENES Y SERVICIOS.</t>
  </si>
  <si>
    <t>CAPÍTULO 3.- GASTOS FINANCIEROS.</t>
  </si>
  <si>
    <t>CAPÍTULO 4. TRANSFERENCIAS CORRIENTES.</t>
  </si>
  <si>
    <t>CAPÍTULO 5. FONDO CONTIGENCIA Y OTROS IMPREVISTOS</t>
  </si>
  <si>
    <t>CAPÍTULO 6. INVERSIONES REALES.</t>
  </si>
  <si>
    <t xml:space="preserve">CAPÍTULO 7. TRANSFERENCIAS DE CAPITAL. </t>
  </si>
  <si>
    <t>CAPÍTULO 8. ACTIVOS FINANCIEROS.</t>
  </si>
  <si>
    <t>CAPÍTULOS 9. PASIVOS FINANCIEROS.</t>
  </si>
  <si>
    <t xml:space="preserve">ORGANISMOS AUTÓNOMOS </t>
  </si>
  <si>
    <t>TOTAL GASTOS  2019</t>
  </si>
  <si>
    <t>INGRESOS</t>
  </si>
  <si>
    <t>***DIFERENCIA ENTRE INGRESOS Y GASTOS</t>
  </si>
  <si>
    <t>APLICACIÓN PRESUP.</t>
  </si>
  <si>
    <t>DENOMINACIÓN</t>
  </si>
  <si>
    <t>ADMINISTRACIÓN GENERAL DE LA SEGURIDAD Y PROTECCIÓN CIVIL</t>
  </si>
  <si>
    <t>OTROS GASTOS DIVERSOS</t>
  </si>
  <si>
    <t>SERVICIO CAPTACIÓN DE IMÁGENES AÉREAS</t>
  </si>
  <si>
    <t>SUBTOTAL …………………………</t>
  </si>
  <si>
    <t>CONVENIO INVOLCAN RED DE SENSORES ACTIVIDAD VOLCÁNICA</t>
  </si>
  <si>
    <t>ELECTRIFICACIÓN DE LAS INFRAESTRUCTURA DE LA TORRE DEL TIME</t>
  </si>
  <si>
    <t>SEGURIDAD Y ORDEN PÚBLICO</t>
  </si>
  <si>
    <t>MEJORA ACUARTELAMIENTO GUARDIA CIVIL DE SANTA CRUZ DE LA PALMA</t>
  </si>
  <si>
    <t>PROTECCIÓN CIVIL</t>
  </si>
  <si>
    <t>ARRENDAMIENTO VEHÍCULOS CECOPIN</t>
  </si>
  <si>
    <t>MATERIAL OFICINA</t>
  </si>
  <si>
    <t>VESTUARIO PERSONAL CECOPIN Y EMERGENCIAS</t>
  </si>
  <si>
    <t>PUBLICIDAD Y PROPAGANDA</t>
  </si>
  <si>
    <t>FORMACIÓN EN MATERIA DE PROTECCIÓN CIVIL</t>
  </si>
  <si>
    <t>PROYECTO DIVULGATIVO INSULAR EN EMERGENCIAS</t>
  </si>
  <si>
    <t>PROYECTO DE SEGURIDAD VIAL Y PREVENCIÓN DE RIESGOS</t>
  </si>
  <si>
    <t>ASIST. TÉCNICA ELABORACIÓN PLANES DE EMERGENCIAS</t>
  </si>
  <si>
    <t>ELABORACIÓN DE PLANES AUTOPROTECCIÓN</t>
  </si>
  <si>
    <t>DIETAS PERSONAL</t>
  </si>
  <si>
    <t>LOCOMOCIÓN PERSONAL</t>
  </si>
  <si>
    <t>SUBV. ASOCIACIONES DE PROTECCIÓN CIVIL</t>
  </si>
  <si>
    <t>CONVENIO AEA SERVICIO DE EMERGENCIA</t>
  </si>
  <si>
    <t>VEHÍCULOS EMERGENCIA</t>
  </si>
  <si>
    <t>EQUIPAMIENTOS Y DOTACIONES EMERGENCIAS</t>
  </si>
  <si>
    <t>NUEVO CENTRO DE EMERGENCIAS</t>
  </si>
  <si>
    <t>MATERIAL TELECOMUNICACIONES</t>
  </si>
  <si>
    <t>SERVICIOS DE EXTINCIÓN DE INCENDIOS</t>
  </si>
  <si>
    <t>PRESTACIÓN SERVICIO PREV. Y EXT. INCENDIOS</t>
  </si>
  <si>
    <t>ADQUISICIÓN MATERIAL SERV. PREV. Y EXT. INCENDIOS</t>
  </si>
  <si>
    <t>ORDENACIÓN DEL TERRITORIO</t>
  </si>
  <si>
    <t>SUELDOS GRUPO A1</t>
  </si>
  <si>
    <t>SUELDOS GRUPO A2</t>
  </si>
  <si>
    <t>SUELDOS GRUPO C1</t>
  </si>
  <si>
    <t>SUELDOS GROPO C2</t>
  </si>
  <si>
    <t>TRIENIOS</t>
  </si>
  <si>
    <t>COMPLEMENTO DE DESTINO</t>
  </si>
  <si>
    <t>COMPLEMENTO ESPECÍFICO</t>
  </si>
  <si>
    <t>OTROS COMPLEMENTOS</t>
  </si>
  <si>
    <t>PRODUCTIVIDAD</t>
  </si>
  <si>
    <t>SEGURIDAD SOCIAL</t>
  </si>
  <si>
    <t>MATERIAL DE OFICINA</t>
  </si>
  <si>
    <t>LIBROS, PRENSA, REVISTAS Y OTRAS PUBLICACIONES</t>
  </si>
  <si>
    <t>MATERIAL INFORMÁTICO NO INVENTARIABLE</t>
  </si>
  <si>
    <t>PUBLICIDAD PIOLP Y OTROS</t>
  </si>
  <si>
    <t>REUNIONES Y CONFERENCIAS</t>
  </si>
  <si>
    <t>INDEMINZACIÓN POR ASISTENCIA COMISIÓN EVALUACIÓN MEDIOAMBIENTAL</t>
  </si>
  <si>
    <t>INDEMNIZACIÓN DAÑOS RESPONSABILIDAD PATRIMONIAL</t>
  </si>
  <si>
    <t>PROYECTO INNOVAGEO</t>
  </si>
  <si>
    <t>GASTOS DIVERSOS</t>
  </si>
  <si>
    <t>ASISTENCIA TÉCNICA PLANIFICACIÓN</t>
  </si>
  <si>
    <t>MOBILIARIO DE OFICINAS</t>
  </si>
  <si>
    <t>PROYECTO ADECUACIÓN LITORAL TAZACORTE</t>
  </si>
  <si>
    <t>RECOGIDA, ELIMINACIÓN Y TRATAMIENTO DE RESIDUOS</t>
  </si>
  <si>
    <t>SUELDOS GRUPO C2</t>
  </si>
  <si>
    <t>RETRIB. BÁSICAS LABORALES RESIDUOS SÓLIDOS</t>
  </si>
  <si>
    <t>OTRAS REMUNERACIÓNES PESONAL LABORAL FIJO</t>
  </si>
  <si>
    <t>RETRIB. PERSONAL LABORAL TEMPORAL</t>
  </si>
  <si>
    <t>RESIDUOS SÓLIDOS, MAQUINARIA, INSTALACIONES Y UTILLAJE</t>
  </si>
  <si>
    <t xml:space="preserve">RESIDUOS SÓLIDOS. COMBUSTIBLES Y CARBURANTES </t>
  </si>
  <si>
    <t xml:space="preserve">RESIDUOS SÓLIDOS. VESTUARIO </t>
  </si>
  <si>
    <t>TRANSPORTES Y MENSAJERÍA</t>
  </si>
  <si>
    <t>PUESTA EN MARCHA DEL PTER</t>
  </si>
  <si>
    <t xml:space="preserve">RESIDUOS SÓLIDOS. GASTOS DIVERSOS </t>
  </si>
  <si>
    <t>ESTUDIOS Y TRABAJOS TÉCNICOS</t>
  </si>
  <si>
    <t>RECOGIDA PAPEL/CARTÓN</t>
  </si>
  <si>
    <t>RECEPCIÓN Y TRATAMIENTO DE PAPEL CARTON SELECTIVA</t>
  </si>
  <si>
    <t>GESTIÓN DE VERTEDEROS</t>
  </si>
  <si>
    <t>GESTIÓN COMPLEJO AMBIENTAL DE RESIDUOS</t>
  </si>
  <si>
    <t>RETIRADA RESIDUOS PELIGROS Y NO PELIGROSOS DE PUNTOS LIMPIOS</t>
  </si>
  <si>
    <t>VIGILANCIA AMBIENTAL, POST SELLADO DE VERTEDEROS INSULARES</t>
  </si>
  <si>
    <t>COMPENSACIÓN PLANTA M. AMBIENTE VILLA DE MAZO</t>
  </si>
  <si>
    <t>APORTACIÓN FUNDACIÓN CANARIA RESERVA DE LA BIOSFERA PROY. PRESERVACIÓN MEDIOAMBIENTAL MAT.RESIDUOS</t>
  </si>
  <si>
    <t>ADQUISICIÓN TERRENOS</t>
  </si>
  <si>
    <t>PUNTO LIMPIO PARA USUARIOS DE LA CONSTRUCCIÓN INDUSTRIA Y SERVICIOS (LOS LLANOS DE ARIDANE)</t>
  </si>
  <si>
    <t>INSTALACIONES Y EQUIPOS DE INFRAESTRUCTURAS DE RESIDUOS</t>
  </si>
  <si>
    <t>OBRAS EN PUNTOS LIMPIOS</t>
  </si>
  <si>
    <t>OBRAS PUNTOS LIMPIOS DE LA CONSTRUCCIÓN</t>
  </si>
  <si>
    <t>INVERSIONES ACTIVIDADES CLASIFICADAS</t>
  </si>
  <si>
    <t>OTROS SERVICIOS DE BIENESTAR COMUNITARIO (MATADERO)</t>
  </si>
  <si>
    <t>REPARACIÓN MAQUINARIA E INSTALACIONES MATADERO</t>
  </si>
  <si>
    <t>REPARACIÓN , MANTENIMIENTO Y CONSERVACIÓN DE ELEMENTOS TRANSPORTE</t>
  </si>
  <si>
    <t>MATERIAL DE OFICINA MATADERO</t>
  </si>
  <si>
    <t>COMBUSTIBLE MATADERO</t>
  </si>
  <si>
    <t>VESTUARIO Y LAVAND.</t>
  </si>
  <si>
    <t>LIMPIEZA INSTALACIONES Y DESINFECCIÓN</t>
  </si>
  <si>
    <t>TRANSPORTES</t>
  </si>
  <si>
    <t>TRIBUTOS VEHICULOS</t>
  </si>
  <si>
    <t>LABORATORIO</t>
  </si>
  <si>
    <t>OTROS GASTOS DIVERSOS MATADERO</t>
  </si>
  <si>
    <t>SERVICIO TRATAMIENTO SANDACH</t>
  </si>
  <si>
    <t>INVERSIONES MATADERO</t>
  </si>
  <si>
    <t>ADMINISTRACIÓN GENERAL DE MEDIO AMBIENTE</t>
  </si>
  <si>
    <t>RETRIBUCIONES BÁSICAS PERSONAL LABORAL FIJO</t>
  </si>
  <si>
    <t>OTRAS REMUNERACIONES</t>
  </si>
  <si>
    <t>LABORAL TEMPORAL</t>
  </si>
  <si>
    <t>GRATIFICACIONES</t>
  </si>
  <si>
    <t>ARRENDAMIENTO TERRENOS Y BIENES NATURALES</t>
  </si>
  <si>
    <t>COMUNIDAD PROPIETARIOS EDIFICIO. ARRENDAMIENTO LOCAL</t>
  </si>
  <si>
    <t>ARRENDAMIENTO MOBILIARIO Y ENSERES</t>
  </si>
  <si>
    <t>MANTENIMIENTO EDIFICIO Y OTRAS CONSTRUCCIONES</t>
  </si>
  <si>
    <t>MAQUINARIA, INSTALACIONES Y UTILLAJE</t>
  </si>
  <si>
    <t>MANTENIMIENTO VEHÍCULOS</t>
  </si>
  <si>
    <t>REPARACIÓN EQUIPOS OFICINA</t>
  </si>
  <si>
    <t>RED COMUNICACIONES</t>
  </si>
  <si>
    <t>PRENSA, REVISTAS, LIBROS Y PUBLICACIONES</t>
  </si>
  <si>
    <t>PUBLICACIONES Y ACTUALIZACIÓN DE TOPOGUÍAS Y FOLLETOS</t>
  </si>
  <si>
    <t>COMBUSTIBLES</t>
  </si>
  <si>
    <t>VESTUARIO</t>
  </si>
  <si>
    <t>SUMINISTRO EQUIPO DE PROTECCIÓN INDIVIDUALES</t>
  </si>
  <si>
    <t>OTROS SUMINISTROS</t>
  </si>
  <si>
    <t>GASTOS DIVERSOS MEDIO AMBIENTE</t>
  </si>
  <si>
    <t xml:space="preserve">ASISTENCIAS TÉCNICAS, ESTUDIOS Y PROGRAMAS DE M.A. </t>
  </si>
  <si>
    <t>ASISTENCIA TÉCNICA PARA EQUIPOS MECÁNICOS</t>
  </si>
  <si>
    <t>PROTECCIÓN Y MEJORA DEL MEDIO AMBIENTE</t>
  </si>
  <si>
    <t>RENTING VEHÍCULOS</t>
  </si>
  <si>
    <t>MANTENIMIENTO PISTA FORESTALES</t>
  </si>
  <si>
    <t>MANTENIMIENTO DE REDES CONTRA INCENDIOS FORESTALES</t>
  </si>
  <si>
    <t>REPAR. MANTENIMIENTO Y CONSERV. OTRO INMOVILIZADO MATERIAL</t>
  </si>
  <si>
    <t>GASTOS VIVERO INSULAR Y CENTRO RECUPERACIÓN DE FAUNA</t>
  </si>
  <si>
    <t>ACTUACIONES CONTRA INCENDIOS Y BRIGADAS</t>
  </si>
  <si>
    <t>ASIST. TÉCN. ERRAD. EXÓTICAS, FLORA Y FAUNA EDUC. AMBIENTAL</t>
  </si>
  <si>
    <t>PLAN DE CONTROL DE EXÓTICAS</t>
  </si>
  <si>
    <t>OTROS TRABAJOS REALIZADOS POR EMPRESAS Y PROFESIONALES</t>
  </si>
  <si>
    <t>INDEMNIZACIÓN POR RAZÓN DEL SERVICIO</t>
  </si>
  <si>
    <t>INDEMNIZACIÓN INCENDIOS Y EMERGENCIAS</t>
  </si>
  <si>
    <t>INTERESES POR OPERACIONES DE ARRENDAMIENTO FINANCIERO (LEASING)</t>
  </si>
  <si>
    <t>ADQUISICIÓN DE TERRENOS CUEVA DE LAS PALOMAS</t>
  </si>
  <si>
    <t xml:space="preserve">CENTRO DE VISITANTES CUEVA DE LAS PALOMAS </t>
  </si>
  <si>
    <t>CENTRO DE VISITANTES CUEVA DE LAS PALOMAS EQUIPAMIENTO</t>
  </si>
  <si>
    <t>INVERSIONES MEDIO AMBIENTE</t>
  </si>
  <si>
    <t>MEJORA SENDEROS DE LA RED INSULAR DE LA PALMA</t>
  </si>
  <si>
    <t>EQUIPAMIENTO Y DOTACIONES</t>
  </si>
  <si>
    <t>CUOTAS NETAS DE INTERESES POR OPERACIONES DE ARRENDAMIENTO FINANCIERO (LEASING)</t>
  </si>
  <si>
    <t>OTRAS ACTUACIONES RELACIONADAS CON EL MEDIO AMBIENTE</t>
  </si>
  <si>
    <t>DÍAS M. AMBIENTE Y ÁRBOL</t>
  </si>
  <si>
    <t>GASTO FUNCIONAMIENTO PATRONATO ESPACIOS NATURALES</t>
  </si>
  <si>
    <t>PREMIOS INSULARES MEDIO AMBIENTE</t>
  </si>
  <si>
    <t>CONVENIO FEDERACIÓN INSULAR DE CAZA COLABORACIÓN EN MATERIA CINEGÉTICA</t>
  </si>
  <si>
    <t>SUBVENCIÓN SOCIEDADES PROTECTORAS DE ANIMALES</t>
  </si>
  <si>
    <t>ADQUISICIÓN TERRENOS ALBERGUE ANIMALES</t>
  </si>
  <si>
    <t>PENSIONES</t>
  </si>
  <si>
    <t>PREMIO JUBILACIÓN/CONSTANCIA</t>
  </si>
  <si>
    <t xml:space="preserve">PENSIONES </t>
  </si>
  <si>
    <t>INDEMNIZACIÓN AL PERSONAL LABORAL POR JUBILACIÓN ANTICIPADA</t>
  </si>
  <si>
    <t>COMPLEMENTO FAMILIAR DE PENSIONISTAS</t>
  </si>
  <si>
    <t>OTRAS PREST. ECON A FAVOR EMPLEADOS</t>
  </si>
  <si>
    <t>PRESTACIONES SANITARIAS</t>
  </si>
  <si>
    <t>FORMACIÓN CONTINUA</t>
  </si>
  <si>
    <t>ACCIÓN SOCIAL</t>
  </si>
  <si>
    <t>SEGURO COLECTIVO ACUNSA</t>
  </si>
  <si>
    <t>AYUDAS AL ESTUDIO DEL PERSONAL</t>
  </si>
  <si>
    <t>FORMACIÓN DEL PERSONAL</t>
  </si>
  <si>
    <t>COMPLEMENTO FAMILIAR</t>
  </si>
  <si>
    <t>APORTACIÓN REPRESENTANTES SINDICALES</t>
  </si>
  <si>
    <t>ADMINISTRACIÓN GENERAL DE SERVICIOS SOCIALES</t>
  </si>
  <si>
    <t>RETRIBUCIONES BÁSICA PERSONAL LABORAL FIJO</t>
  </si>
  <si>
    <t>OTRAS REMUNERACIONES PERSONAL LABORAL FIJO</t>
  </si>
  <si>
    <t>MATERIAL DE OFICINA ORDINARIO NO INVENTARIABLE</t>
  </si>
  <si>
    <t>PRENSA, REVISTAS, LIBROS Y OTRAS PUBLICACIONES</t>
  </si>
  <si>
    <t>TRANSPORTES Y MENSAJERÍAS</t>
  </si>
  <si>
    <t>INVERSIONES SERVICIOS SOCIALES</t>
  </si>
  <si>
    <t>GASTOS PROGR "VIDA ACTIVA" PARA MAYORES</t>
  </si>
  <si>
    <t>GASTOS CORRIENTES TUTELAS Y CURATELAS</t>
  </si>
  <si>
    <t>PLAN DE ATENCIÓN SOCIOSANITARIA-DEPENDENCIA</t>
  </si>
  <si>
    <t>MUJERS VÍCTIMAS VIOLENCIA Y PROTECC. INTEGRAL MUJERES</t>
  </si>
  <si>
    <t>PRESTACIÓN SERVICIOS MENORES</t>
  </si>
  <si>
    <t>PRESTACIÓN SERVICIOS RESPIRO FAMILIAR MENORES</t>
  </si>
  <si>
    <t>PRESTACIÓN SERV. ATENCIÓN PLAYAS PERSONAS</t>
  </si>
  <si>
    <t>PRESTACIÓN SERV. PERSONAS DISCAPACIDAD MUSICOTERAPIA</t>
  </si>
  <si>
    <t>SUBV. A AYTOS. DE LA ISLA DE LA PALMA DESARROLLO OBJETIVOS PLAN INTEGRAL DEL MENOR</t>
  </si>
  <si>
    <t>SUBVENCIÓN AYUNTAMIENTOS PARA PROYECTOS DE SENSIBILIZACIÓN SOCIAL</t>
  </si>
  <si>
    <t>AYUDA FOMENTO INSERCIÓN LABORAL PERSONAS CON DISCAPACIDAD</t>
  </si>
  <si>
    <t>PROGRAMA DE INCLUSIÓN SOCIAL AYUNTAMIENTO DE LA ISLA DE LA PALMA</t>
  </si>
  <si>
    <t>AYUDAS DE EMERGENCIA SOCIAL</t>
  </si>
  <si>
    <t>SUBV.ASOCIACIÓN ESPAÑOLA CONTRA EL CANCER. ATENCIÓN INTEGRAL A LOS PACIENTES ONCOLÓGICOS DE LA PALMA</t>
  </si>
  <si>
    <t>PLAN GERONTOLÓGICO-AYUDA ASOC./CENTRO MAYORES</t>
  </si>
  <si>
    <t>AYUDAS EC.-FONDO DE EMERGENCIA SOCIAL MUJER</t>
  </si>
  <si>
    <t>AYUDAS ECONÓMICAS A LAS ASOC,INSTITUC Y ENTIDADES SIN ANIMO DE LUCRO QUE REALICEN PROYECTOS DE CARÁCTER SOCIAL</t>
  </si>
  <si>
    <t>CONV. ASOC. ADFILPA. ATENCIÓN INTEGRAL A PRESONAS CON DISCAPACIDAD FÍSICA</t>
  </si>
  <si>
    <t>CONV. AFA-LA PALMA. ATENCIÓN INTEGRAL A PERSONAS CON ALZHEIMER Y DEMENCIA</t>
  </si>
  <si>
    <t>CONVENIO ASOCIACIÓN AFEM. ATENCIÓN INTEGRAL A PERSONAS CON ENFERMEDAD MENTAL</t>
  </si>
  <si>
    <t>CONVENIO AMPA EL DORADOR. ATENCIÓN INTEGRAL A PERSONAS CON DISCAPACIDAD INTELECTUAL Y FÍSICA</t>
  </si>
  <si>
    <t xml:space="preserve">CONVENIO ASOCIACIÓN BESAY. ATENCIÓN INTEGRAL A NIÑOS/AS CON NECESIDADES EDUCATIVAS ESPECIALES </t>
  </si>
  <si>
    <t xml:space="preserve">CONVENIO CENTRO ESPECIAL DE EMPLEO DESTILADERA. ATENCIÓN INTEGRAL PERSONAS DISCAPACIDAD INTELECTUAL </t>
  </si>
  <si>
    <t>CONVENIO FUNCASOR LA PALMA. ATENCIÓN INTEGRAL A PERSONAS SORDAS</t>
  </si>
  <si>
    <t>CONVENIO ASOC. NIÑOS ESPECIALES DE LA PALMA. ATENCIÓN INTEGRAL A PERSONAS DISCAPC INTELECTURAL Y FIS</t>
  </si>
  <si>
    <t xml:space="preserve">CONVENIO ASOC. PADISBALTA. ATENCIÓN INTEGRAL A PERSONAS CON DISCAPACIDAD INTELECTUAL </t>
  </si>
  <si>
    <t>CONVENIO FUNDACIÓN TABURIENTE. ATENCIÓN INTEGRAL A PERSONAS CON DISCAPACIDAD INTELECTUAL</t>
  </si>
  <si>
    <t>PREMIOS ACCIÓN SOCIAL</t>
  </si>
  <si>
    <t>CONVENIO INDISPAL ACTUACIONES PARA DESARROLLO INTEGRAL PERSONAS CON DISCAPACIDAD</t>
  </si>
  <si>
    <t>SUBV. RADIO ECCA. ACTUACIONES DESARROLLO INTEGRAL FAMILIA SITUAC. RIESGO O VULNERABILIDAD SOCIAL</t>
  </si>
  <si>
    <t>SUBV. CRUZ ROJA. POTENCIACIÓN SERV. TELEASISTENCIA DOMICILIARIA ISLA DE LA PALMA</t>
  </si>
  <si>
    <t>CONVENIO ADFILPA ELIMINACIÓN DE BARRERAS ARQUITECTONICAS, DE COMUNICACIÓN Y LA NORMALIZACIÓN</t>
  </si>
  <si>
    <t>CONV. ASOC. PLENA INCLUSIÓN CANARIAS. APOYO A LA VIDA INDEPENDIENTE PERSONAS DISCAPACIDAD INTELECTUAL</t>
  </si>
  <si>
    <t>SUBV. ASOCIACIÓN PARKINSON ACTUACIÓN INTEGRAL ENFERMOS PARKINSON EN LA PALMA</t>
  </si>
  <si>
    <t>SUBV. PEQUEÑO VALIENTE. ATENCIÓN INTEGRAL A NIÑOS Y NIÑAS TRATAMIENTO ONCOLÓGICO EN LA PALMA</t>
  </si>
  <si>
    <t>SUBV. ASOCIACIÓN NIÑOS ESPECIALES DE LA PALMA. SERVICIO DE ESTIMULACIÓN TEMPRANA</t>
  </si>
  <si>
    <t>CONVENIO CARITAS. ATENCIÓN INTEGRAL A PERSONAS CON VULNERABILIDAD SOCIAL</t>
  </si>
  <si>
    <t>SUBV. ASOC. FAMILIARES DE ALZEHEIMER ISLA DE LA PALMA FORMACIÓN ALZEHEIMER</t>
  </si>
  <si>
    <t>SUBV. ACTIVIDADES DE SENSIBILIZACIÓN PARA ENTIDADES</t>
  </si>
  <si>
    <t xml:space="preserve">SUBV. ASOCIACIÓN DE MUJERES CANCER MAMA DE TENERIFE SERV DE PREVENCIÓN PERSONAS CANCER MAMA O QUE LO HAN PADECIDO FIN TERAPÉUTICO </t>
  </si>
  <si>
    <t>SUBV. CRUZ ROJA ESPAÑOLA. MANTENIMIENTO PUNTOS DE ENCUENTRO DE LA ISLA</t>
  </si>
  <si>
    <t>SUBV. CRUZ ROJA ESPAÑOLA. PROYECTO MUJERES VICTIMA VIOLENCIA DE GENERO</t>
  </si>
  <si>
    <t>SUBV. FEDERACIÓN DE MAYORES DE LA ISLA DE LA PALMA. PROGRAMA DE MEJORA DE LA CALIDAD DE VIDA Y PREVENCIÓN DEPENDENCIA</t>
  </si>
  <si>
    <t>SUBV. PEQUEÑO VALIENTE. PROYECTO "UN VERANO EN LA PALMA"</t>
  </si>
  <si>
    <t>SUBV. COLECTIVO VIOLETAS LGBTI+PROYECTO "ESTUDIO SOBRE LA REALIDAD DE LA POBLACIÓN LGBTI+EN LA ISLA DE LA PALMA</t>
  </si>
  <si>
    <t>SUBV. CARITAS ATENCIÓN INTEGRAL DE PERSONAS A TRAVES DE LA UMAC</t>
  </si>
  <si>
    <t>AYUDA A OTROS PUEBLOS</t>
  </si>
  <si>
    <t>ASOC. EDUCACIÓN-ALIMENTACIÓN-SANIDAD (EDUCAS), ATENCIÓN INTEGRAL A JÓVENES MARGINADOS EN FILIPINAS</t>
  </si>
  <si>
    <t>INV. SISTEMA SOCIAL PREVENCIÓN Y PROTECCIÓN INTEGRAL MUJERES</t>
  </si>
  <si>
    <t>SUBV. ASOC. ESPAÑOLA CONTRA EL CANCER, AYUDAS TÉCNICAS PRÉSTAMOS ENFERMOS ONCÓLOGICOS</t>
  </si>
  <si>
    <t>SUBV. PARROQUIA DE EL PILAR Y SANTIAGO EN S/C DE LA PALMA CONSTRUCCIÓN CENTRO ATENCIÓN SOCIAL</t>
  </si>
  <si>
    <t>PROMOCIÓN SOCIAL</t>
  </si>
  <si>
    <t>REUNIONES, CONFERENCIAS Y CURSOS</t>
  </si>
  <si>
    <t>ACTIVIDADES DIVERSAS ACCIÓN SOCIAL</t>
  </si>
  <si>
    <t>ASISTENCIA PERSONAS DEPENDIENTES</t>
  </si>
  <si>
    <t>PRESTACIÓN SERVICIOS CENTRO PERSONAS CON DISCAPACIDAD</t>
  </si>
  <si>
    <t>PRESTACIÓN SERVICIO CENTRO DEL DÍA ALZHEIMER</t>
  </si>
  <si>
    <t>CONVENIO AYTO. GARAFÍA RESID. MAYORES SOR JOSEFA ARGOTE GASTOS FUNCIONAMIENTO</t>
  </si>
  <si>
    <t>CONVENIO AYTO. SAN ANDRÉS Y SAUCES RESIDENCIA MAYORES GASTOS FUNCIONAMIENTO</t>
  </si>
  <si>
    <t>SUBV. AYTO. LOS LLANOS INTERVENCIÓN DEMENCIAS Y ALZHEIMER</t>
  </si>
  <si>
    <t>CONVENIO AYTO. LOS LLANOS DE ARIDANE. CENTRO DIA MAYORES, GASTOS MANTENIM</t>
  </si>
  <si>
    <t>SUBV. AYTO. PUNTALLANA TALLER INTEGRACIÓN PERSONAS CON DISCAPACIDAD</t>
  </si>
  <si>
    <t>SUBV. AYTO. LOS LLANOS INSERCIÓN SOCI LABORAL ENFERMOS MENTALES</t>
  </si>
  <si>
    <t>SUBV. AYTO. S/C DE LA PALMA ESTIMULACIÓN PRECOZ</t>
  </si>
  <si>
    <t>SUBV. A AYTOS. DE LA ISLA DE LA PALMA APOYO AL SERVICIO A DOMICILIO</t>
  </si>
  <si>
    <t>CONVENIO AYTO TAZACORTE-RESIDENCIA MAYORES GASTOS MANTENIMIENTO</t>
  </si>
  <si>
    <t>CONVENIO AYTO.PUNTAGORDA RESIDENCIA DE MAYORES GASTOS MANTENIMIENTO</t>
  </si>
  <si>
    <t>CONVENIO AYTO.TIJARAFE CTRO.DE ESTANCIA DIURNA GASTOS MANTENIMIENTO</t>
  </si>
  <si>
    <t>CONVENIO AYTO. BREÑA ALTA RESID.PERSONAS CON DISCAPAC.NINA JAUBERT GASTOS MANTENIMIENTO</t>
  </si>
  <si>
    <t>CONVENIO AYTO.B.ALTA CENTRO OCUPACIONAL GASTOS MANTENIMIENTO</t>
  </si>
  <si>
    <t>CONVENIO AYTO.MAZO CENTRO OCUPACIONAL GASTO MANTENIMIENTO</t>
  </si>
  <si>
    <t>CONVENIO AYTO. VILLA DE MAZO CENTRO DE DIA MAYORES GASTOS MANTENIMIENTO</t>
  </si>
  <si>
    <t>CONVENIO AYTO. VILLA DE MAZO RESIDENCIA MAYORES GASTOS MANTENIMIENTO</t>
  </si>
  <si>
    <t>CONVENIO AYTO. BREÑA ALTA RESIDENCIA MAYORES NINA JAUBERT GASTOS MANTENIMIENTO</t>
  </si>
  <si>
    <t>CONVENIO AYTO. FUENCALIENTE RESIDENCIA DE MAYORES GASTO MANTENIMIENTO</t>
  </si>
  <si>
    <t>CONVENIO AYTO. BREÑA ALTA HOGAR FUNCIONAL GASTOS MANTENIMIENTO</t>
  </si>
  <si>
    <t>CONVENIO AYTO. TAZACORTE. CENTRO DE DIA MAYORES GASTOS MANTENIMIENTO</t>
  </si>
  <si>
    <t>CONVENIO AYTO. PUNTALLANA RESIDENCIA MAYORES GASTOS MANTENIMIENTO</t>
  </si>
  <si>
    <t>CONVENIO AYTO. BREÑA ALTA CENTRO DÍA MAYORES GASTOS MANTENIMIENTO</t>
  </si>
  <si>
    <t>CONVENIO AYTO. BREÑA BAJA CENTRO DÍA MAYORES GASTOS MANTENIMIENTO</t>
  </si>
  <si>
    <t>CONVENIO AYTO. PUNTALLANA CENTRO DÍA MAYORES GASTOS MANTENIMIENTO</t>
  </si>
  <si>
    <t>CONVENIO AYTO. TIJARAFE RESIDENCIA MAYORES GASTOS DE MANTENIMIENTO</t>
  </si>
  <si>
    <t>CONVENIO ORDEN HOSPITALARIA SAN JUAN DE DIOS GASTOS MANTENIMIENTO</t>
  </si>
  <si>
    <t>CONVENIO FUNDACIÓN CANARIA TABURIENTE ESPECIAL CTRO.OCUPAC.TABURIENTE GASTO MANTENIMIENTO</t>
  </si>
  <si>
    <t>CONVENIO FUNDACIÓN ISONORTE CENTRO OC.LA TRAVIESA GASTO MANTENIMIENTO</t>
  </si>
  <si>
    <t>CONVENIO FUNDACIÓN ISONORTE CENTRO OC.LA TISERA GASTO MANTENIMIENTO</t>
  </si>
  <si>
    <t>CONVENIO FUNDACIÓN CANARIA SOLIDARIDAD LA PALMA. RESID. MAYORES LOS LLANOS GASTOS MANTENIMIENTO</t>
  </si>
  <si>
    <t>CONVENIO ASOC. NIÑOS ESPECIALES DE LA PALMA. CENTRO DE DÍA DISCAPACIDAD</t>
  </si>
  <si>
    <t>SUBV. ASOC. FAMILIARES DE ENFERMOS ALZHEIMER Y OTRAS DEMENCIAS DE LA PALMA. PROMOCIÓN AUTONOMÍA PERSONAL . GASTOS DE MANTENIMIENTO</t>
  </si>
  <si>
    <t>CENTRO SOCIOSANITARIO LAS NIEVES</t>
  </si>
  <si>
    <t>INV PLAN ATENCIÓN SOCIO-SANITARIA-DEPENDENCIA</t>
  </si>
  <si>
    <t>II PLAN DE INFRAESTRUCTURA SOCIOSANITARIA</t>
  </si>
  <si>
    <t>CONSTRUCCIÓN RESIDENCIA MAYORES DE GARAFÍA</t>
  </si>
  <si>
    <t>RESIDENCIAS DE PENSIONISTAS</t>
  </si>
  <si>
    <t xml:space="preserve"> RETRIBUCIONES BÁSICAS PERSONAL LABORAL FIJO</t>
  </si>
  <si>
    <t>RETRIBUCIONES PERSONAL LABORAL TEMPORAL</t>
  </si>
  <si>
    <t xml:space="preserve">GRATIFICACIONES </t>
  </si>
  <si>
    <t>PRODUCTOS ALIMENTICIOS</t>
  </si>
  <si>
    <t>INVERSIONES RESIDENCIA DE PENSIONISTAS</t>
  </si>
  <si>
    <t>FOMENTO DE EMPLEO</t>
  </si>
  <si>
    <t>OTROS COMPLEMENTOS FUNCIONARIOS</t>
  </si>
  <si>
    <t>RETRIBUCIONES FIMAC (INTERREG MAC 2014-2020)</t>
  </si>
  <si>
    <t>RETRIBUCIONES PLAN DE EMPLEO SOCIAL FDCAN/CONTROL DEL PS 2018 (2ª FASE)</t>
  </si>
  <si>
    <t>RETRIBUCIONES PLAN DE EMPLEO SOCIAL FDCAN/CONTRO DEL PS FDCAN 2019 (3ª FASE)</t>
  </si>
  <si>
    <t>RETRIBUCIONES PARA PROGRAMAS CON EL SCE</t>
  </si>
  <si>
    <t>INDEMNIZACIONES TÉCNICOS GARANTÍA JUVENIL LA PALMA SI II</t>
  </si>
  <si>
    <t>RETRIBUCIONES PRODAE</t>
  </si>
  <si>
    <t xml:space="preserve">PRODUCTIVIDAD </t>
  </si>
  <si>
    <t>RENTING VEHÍCULO DESTINADO PLAN EMPLEO SOCIAL FDCAN CONTROL P.S. - FDCAN 2018</t>
  </si>
  <si>
    <t>REPARACIÓN Y MANTENIMIENTO VEHÍCULOS</t>
  </si>
  <si>
    <t>TRIBUTOS VEHÍCULOS</t>
  </si>
  <si>
    <t>PUBLICACIONES EN DIARIOS OFICIALES</t>
  </si>
  <si>
    <t>PUBLICIDAD Y PROPAGANDA FDCAN LINEA 3 2019</t>
  </si>
  <si>
    <t xml:space="preserve">GASTOS CORRIENTES PROGRAMA SCE </t>
  </si>
  <si>
    <t>LA PALMA EMPLEO. FOMENTO Y FORMACIÓN PARA EL EMPLEO - FDCAN 2019</t>
  </si>
  <si>
    <t>HUERTOS ESCOLARES ECOLÓGICOS</t>
  </si>
  <si>
    <t>ACTUACIONES INTEGRALES (LA PALMA LOCAL) - FEDER</t>
  </si>
  <si>
    <t>LA PALMA EMPRENDE - FDCAN 2019</t>
  </si>
  <si>
    <t>PROYECTO FIMAC (INTERREG MAC 2014-2020)</t>
  </si>
  <si>
    <t>GASTOS CORRIENTES PLAN EMPLEO SOCIAL - CONTROL PENIS. SET. (2ª FASE - FDCAN 2018)</t>
  </si>
  <si>
    <t>PLAN  EMPLEO SOCIAL AYTOS. FDCAN ANUALIDAD 2019. LÍNEA 3</t>
  </si>
  <si>
    <t>SUBV. FOMENTO A LA CONTRATACIÓN LABORAL CONVOCATORIA PLURIANUAL 2018. FDCAN 2018</t>
  </si>
  <si>
    <t>SUBV. FOMENTO A LA CONTRATACIÓN LABORAL CONVOCATORIA 2019. FDCAN 2019</t>
  </si>
  <si>
    <t>SUBV. A ENTIDADES SIN ÁNIMO DE LUCRO PARA PROYECTOS GENERADORES DE EMPLEO (FDCAN 2019)</t>
  </si>
  <si>
    <t>EQUIPOS PARA PROCESOS DE INFORMACIÓN PROGRAMAS DE EMPLEO</t>
  </si>
  <si>
    <t>OTRAS INVERSIONES EMPLEO</t>
  </si>
  <si>
    <t>SUBVENCIONES A EMPRENDEDORES PARA LA PUESTA EN MARCHA DE PROYECTOS EMPRESARIALES (FDCAN 2019)</t>
  </si>
  <si>
    <t>HOSPITAL DE DOLORES</t>
  </si>
  <si>
    <t>RETRIBUCIONES BÁSICAS LABORALES HOSPITAL</t>
  </si>
  <si>
    <t>HOSPITAL SUSTITUCIONES VACACIONES E ILT</t>
  </si>
  <si>
    <t>GRATIFICACIONES Y FESTIVOS LABORAL</t>
  </si>
  <si>
    <t>CONSERVACIÓN MAQUINARIA HOSPITAL</t>
  </si>
  <si>
    <t>MATERIAL DE TRANSPORTE HOSPITAL</t>
  </si>
  <si>
    <t>REPARACIÓN MOBILIARIOS Y ENSERES HOSPITAL</t>
  </si>
  <si>
    <t>REPARACIONES HOSPITAL</t>
  </si>
  <si>
    <t xml:space="preserve">MATERIAL DE OFICINA </t>
  </si>
  <si>
    <t>GAS HOSPITAL</t>
  </si>
  <si>
    <t>COMBUSTIBLES Y CARBURANTES HOSPITAL</t>
  </si>
  <si>
    <t>SUMINISTRO VESTUARIO HOSPITAL</t>
  </si>
  <si>
    <t>PRODUCTOS ALIMENTICIOS HOSPITAL</t>
  </si>
  <si>
    <t>PRODUCTOS FARMACÉUTICOS HOSPITAL</t>
  </si>
  <si>
    <t>PRODUCTOS DE LIMPIEZA Y ASEO HOSPITAL</t>
  </si>
  <si>
    <t>JORNADAS, CURSOS, CONFERENCIAS Y REUNIONES SANIDAD</t>
  </si>
  <si>
    <t>TERAPIA OCUPACIONAL Y ACTIVIDADES HOSPITAL</t>
  </si>
  <si>
    <t>OTROS GASTOS DIVERSOS HOSPITAL</t>
  </si>
  <si>
    <t>ADQUISIC. MOBILIARIO Y ENSERES</t>
  </si>
  <si>
    <t>ADQUISICIÓN OTROS BIENES INVENTARIABLES</t>
  </si>
  <si>
    <t>OBRAS EDIFICIO HOSPITAL NUESTRA SEÑORA DE LOS DOLORES</t>
  </si>
  <si>
    <t>ACCIONES PÚBLICAS RELATIVAS A LA SALUD</t>
  </si>
  <si>
    <t>ASOCIACIÓN PALMERA TRATAMIENTO Y PREVENCIÓN TOXICOMANÍA</t>
  </si>
  <si>
    <t>SERVICIOS COMPLEMENTARIOS DE EDUCACIÓN</t>
  </si>
  <si>
    <t xml:space="preserve">AYUDAS AL ESTUDIO Y ENSEÑANZA </t>
  </si>
  <si>
    <t>AYUDAS ESTUDIANTES EN LAS RESIDENCIA/COLEGIOS ULL Y ULPG</t>
  </si>
  <si>
    <t>BECAS DE INMERSIÓN LINGÜÍSTICA</t>
  </si>
  <si>
    <t>BECAS GRADO ARQUITECTOS</t>
  </si>
  <si>
    <t>SUBV. COLECTIVO ESCUELAS UNITARIAS ZONA ESTE LA PALMA. ROMERÍA DEL DÍA DE CANARIAS</t>
  </si>
  <si>
    <t>SUBV. AMPAS Y ALUMNOS POR PARTICIPACIÓN EN ACTIVIDADES EDUCATIVAS</t>
  </si>
  <si>
    <t>SUBV. AMPA COLEGIO VELHOCO SANTA CRUZ DE LA PALMA EXPERIENCIA COMEDOR ESCOLAR</t>
  </si>
  <si>
    <t>PROMOCIÓN EDUCATIVA</t>
  </si>
  <si>
    <t xml:space="preserve">LIBROS ESCUELA ENFERMERÍA </t>
  </si>
  <si>
    <t>PUBLICACION EN DIARIOS OFICIALES</t>
  </si>
  <si>
    <t>CURSOS DE FORMACIÓN EDUCATIVA</t>
  </si>
  <si>
    <t>ACTIVIDADES EDUCATIVAS</t>
  </si>
  <si>
    <t>PUBLICACIONES</t>
  </si>
  <si>
    <t xml:space="preserve">IMPLANTACIÓN NUEVAS TITULACIONES </t>
  </si>
  <si>
    <t>APORTACIÓN A LA ESCUELA INSULAR DE MÚSICA</t>
  </si>
  <si>
    <t>SUBVENCIÓN UNED LA PALMA GASTOS FUNCIONAMIENTO</t>
  </si>
  <si>
    <t>SUBV. ULL PROGRAMA TITULACIÓN POSGRADO EN AGRICULTURA ECOLÓGICA</t>
  </si>
  <si>
    <t>SUBV. ULL BECAS PROGRAMA FOSTERING GRADS ECUSA</t>
  </si>
  <si>
    <t>SUBV. FUNDACIÓN GENERAL DE LA ULL ACTIVIDAD UNIVERSIDAD DE VERANO</t>
  </si>
  <si>
    <t>SUBV. ASOCIACIÓN CANARIA DE JUEGOS DE ESTRATEGIA-ACAJE-APRENDER JUGANDO-IES</t>
  </si>
  <si>
    <t>SUBV. FEDERACIÓN UNIÓN ESTUDIANTES DE CANARIAS (UDECA) ENCUENTRO DE ESTUDIANTES</t>
  </si>
  <si>
    <t>EQUIPOS PARA PROCESOS DE INFORMACIÓN</t>
  </si>
  <si>
    <t>INVERSIONES INSTALACIONES EDUCACIÓN</t>
  </si>
  <si>
    <t>OBRAS EN LA ESCUELA INSULAR DE MÚSICA</t>
  </si>
  <si>
    <t>ADMINISTRACIÓN GENERAL CULTURA</t>
  </si>
  <si>
    <t>CULTURA MATERIAL DE OFICINA</t>
  </si>
  <si>
    <t>SUMINISTRO MATERIAL CULTURA</t>
  </si>
  <si>
    <t>PUBLICIDAD Y PROPAGANDA CULTURA</t>
  </si>
  <si>
    <t>GASTOS DIVERSOS CULTURA</t>
  </si>
  <si>
    <t>FONDO PUBLICACIONES Y COEDICIÓN CABILDO INSULAR</t>
  </si>
  <si>
    <t>BIBLIOTECAS Y ARCHIVOS</t>
  </si>
  <si>
    <t>PRENSA, REVISTAS, LIBROS Y OTROS</t>
  </si>
  <si>
    <t>MATERIAL DE TRABAJO ARCHIVERO</t>
  </si>
  <si>
    <t>SUBV. BIBLIOTECAS MUNICIPALES.FOMENTO LECTURA</t>
  </si>
  <si>
    <t>LA COSMOLÓGICA APORTACIÓN GASTOS FUNCIONAMIENTO</t>
  </si>
  <si>
    <t>REDACCIÓN PROYECTO NUEVO EDIFICIO ARCHIVO Y BIBLIOTECA INSULAR</t>
  </si>
  <si>
    <t>EQUIPAMIENTOS CULTURALES Y MUSEOS</t>
  </si>
  <si>
    <t>UNIFORME PERSONAL MUSEOS</t>
  </si>
  <si>
    <t>OTROS GASTOS DIVERSOS MUSEOS</t>
  </si>
  <si>
    <t>EDICIÓN LIBRO HISTORIA ORDEN TERCERA</t>
  </si>
  <si>
    <t>SUBVENCIÓN ORDEN FRANCISCANA SEGLAR GASTOS FUNCIONAMIENTO</t>
  </si>
  <si>
    <t>MOBILIARIO Y ENSERES</t>
  </si>
  <si>
    <t>EQUIPOS PARA PROCESOS DE INFORMACION</t>
  </si>
  <si>
    <t>ADQUISICIÓN BIENES INTERÉS HISTÓRICO, ARTÍSTICOS O ETNOGRÁFICOS</t>
  </si>
  <si>
    <t>PROYECTO AUDITORIO INSULAR</t>
  </si>
  <si>
    <t>ACTUACIONES MUSEISTICAS Y CULTURALES</t>
  </si>
  <si>
    <t>ESCULTURA CONMEMORATIVAS PLEITO REGIDORES VALORES DEMOCRATICOS</t>
  </si>
  <si>
    <t>PROYECTOS DE MEJORA ACCESIBILIDAD MUSEOS Y CENTRO CULTURALES</t>
  </si>
  <si>
    <t>SUBV. PARROQUIA NTA. SRA. DE LAS NIEVES INVERSION MUSEO ARTE SACRO</t>
  </si>
  <si>
    <t>SUBV. FUNDACIÓN DIARIO DE AVISOS CREACIÓN MUSEO HISTORIA DIARIO DE AVISOS</t>
  </si>
  <si>
    <t>PROMOCIÓN CULTURAL</t>
  </si>
  <si>
    <t>EXPOSICIONES CULTURALES</t>
  </si>
  <si>
    <t>FERIA DEL LIBRO CULTURA</t>
  </si>
  <si>
    <t>FERIA INSULAR DE ARTE</t>
  </si>
  <si>
    <t>GASTOS ORGANIZACIÓN PREMIOS CULTURA</t>
  </si>
  <si>
    <t xml:space="preserve">OTRAS ACTIVIDADES CULTURALES                 </t>
  </si>
  <si>
    <t>CREAMOS EN LA PALMA</t>
  </si>
  <si>
    <t>ENCUENTO DE BANDAS DE MÚSICA SANTA CECILIA</t>
  </si>
  <si>
    <t>ENCUENTRO DE MÚSICA Y DANZA DE NAVIDAD</t>
  </si>
  <si>
    <t>ENCUENTRO DE ESCRITORES FÉLIX FRANCISCO CASANOVA</t>
  </si>
  <si>
    <t>FESTIVAL THE JARANA´S</t>
  </si>
  <si>
    <t>CICLO DE CONCIERTOS SALUTATIO</t>
  </si>
  <si>
    <t>JORNADAS VICTORIA SOBRE DRAKE</t>
  </si>
  <si>
    <t>CENTENARIO DEL NAUFRAGIO DEL BUQUE BARBANERA</t>
  </si>
  <si>
    <t>SUBVENCIÓN AYTO. S/C DE LA PALMA. TEATRO CIRCO DE MARTE</t>
  </si>
  <si>
    <t>SUBV. BANDAS DE MUSICA MUNICIPALES - AYTO BARLOVENTO</t>
  </si>
  <si>
    <t>SUBV. BANDAS DE MUSICA MUNICIPALES - AYTO BREÑA ALTA</t>
  </si>
  <si>
    <t>SUBV. BANDAS DE MUSICA MUNICIPALES - AYTO BREÑA BAJA</t>
  </si>
  <si>
    <t>SUBV. BANDAS DE MUSICA MUNICIPALES - AYTO FUENCALIENTE</t>
  </si>
  <si>
    <t>SUBV. BANDAS DE MUSICA MUNICIPALES - AYTO EL PASO</t>
  </si>
  <si>
    <t>SUBV. BANDAS DE MUSICA MUNICIPALES - AYTO LOS LLANOS DE ARIDANE</t>
  </si>
  <si>
    <t>SUBV. BANDAS DE MUSICA MUNICIPALES - AYTO PUNTAGORDA</t>
  </si>
  <si>
    <t>SUBV. BANDAS DE MUSICA MUNICIPALES - AYTO PUNTALLANA</t>
  </si>
  <si>
    <t>SUBV. BANDAS DE MUSICA MUNICIPALES - AYTO TAZACORTE</t>
  </si>
  <si>
    <t>SUBV. BANDAS DE MUSICA MUNICIPALES - AYTO SAN ANDRÉS Y SAUCES</t>
  </si>
  <si>
    <t>SUBV. BANDAS DE MUSICA MUNICIPALES - AYTO S/C DE LA PALMA</t>
  </si>
  <si>
    <t>SUBV. BANDAS DE MUSICA MUNICIPALES - AYTO VILLA DE GARAFÍA</t>
  </si>
  <si>
    <t>SUBV. ACADEMIA DE INSTRUMENTOS DE MÚSICA CLÁSICA - AYTO. VILLA DE MAZO</t>
  </si>
  <si>
    <t>SUBV. BANDAS DE MUSICA MUNICIPALES - AYTO TIJARAFE</t>
  </si>
  <si>
    <t>SUBV. AYTO. TAZACORETE ACTIVIDAD CULTURAL ESPECIAL ARRAIGO FERIA ALEMANA</t>
  </si>
  <si>
    <t>SUBV. AYTO. EL PASO ACTIVICAD CULTURAL ESPECIAL ARRAIGO FESTIVAL INTERNACIONAL MÚSICA EL PASO</t>
  </si>
  <si>
    <t>SUBV. AYTO. TIJARAFE ACTIVIDAD CULTURAL ESPECIAL ARRAIGO FESTIVAL PUNTO CUBANO</t>
  </si>
  <si>
    <t>SUBV. AYTO. S/C DE LA PALMA ACTIVIDAD CULTURAL ESPECIAL ARRAIGO NOCHE CUBANA</t>
  </si>
  <si>
    <t>SUBV. AYTO. BREÑA BAJA ACTIVIDAD CULTURAL ESPECIAL ARRAIGO DÍA DE LA MADRE</t>
  </si>
  <si>
    <t>SUBV. AYTO. BREÑA ALTA ACTIVIDAD CULTURAL ESPECIAL ARRAIGO LLEGADA DEL CONDE DE LOS ÁLAMOS</t>
  </si>
  <si>
    <t>SUBV. AYTO. VILLA DE GARAFÍA PARA FESTIVAL DE LA PALABRA</t>
  </si>
  <si>
    <t>SUBV. AYTO. PUNTAGORDA FERIAS CULTURA DEL MUNDO</t>
  </si>
  <si>
    <t>SUBVENCION SOCIEDAD ESTUDIOS GENERALES PARA PUBLICACIONES</t>
  </si>
  <si>
    <t>SUBVENCION ASOC. CARTAS DIFERENTES PARA PUBLICACIONES</t>
  </si>
  <si>
    <t>SUBVENCIÓN ASOCIACIÓN VERSADORES TALLER DE REPENTISMOS GTOS. PERSONAL, MANTENIMIENTO Y DESPLAZAMIENTO</t>
  </si>
  <si>
    <t>SUBV. ASOCIACIÓN RETROGUANCHE LA PALMA EXPOSICIÓN Y TALLERES VIDEOCONSOLAS Y COMICS ANTIGUOS</t>
  </si>
  <si>
    <t>SUBV. ASOC. CENTRO INSULAR DE FOTOGRAFÍA DE LA PALMA TALLER RETOQUES FOTOGRÁFICOS</t>
  </si>
  <si>
    <t>SUBV. A MAHKAH CULTURA PROMOCIÓN Y DIFUSIÓN CULTURAL</t>
  </si>
  <si>
    <t>SUBV. ASOC. CULTURAL PIMIENTA SELECTORAS DE LA PALMA PRIMER ENCUENTRO MUJERES DJ CANARIAS</t>
  </si>
  <si>
    <t>SUBV. JOSÉ ANTONIO AFONSO ROMERO ESTUDIOS GRABACIÓN DISCO FRANCISCO RODRÍGUEZ</t>
  </si>
  <si>
    <t>PREMIOS CULTURA</t>
  </si>
  <si>
    <t>ARTES ESCÉNICAS</t>
  </si>
  <si>
    <t>LA PALMA ES UN PUNTO</t>
  </si>
  <si>
    <t>PROMOCIÓN CINE</t>
  </si>
  <si>
    <t>FESTIVAL DE MÚSICA DE CANARIAS</t>
  </si>
  <si>
    <t>CIRCUITO ISLAS DE MÚSICA, DANZA Y TEATRO</t>
  </si>
  <si>
    <t>PROYECCIONES DOCUMENTAL DEL MES</t>
  </si>
  <si>
    <t>JORNADAS "LA VOZ DE LA MUJER"</t>
  </si>
  <si>
    <t>UNA ISLA EN ESCENA</t>
  </si>
  <si>
    <t>FESTIVAL DE DANZA EN LA PALMA</t>
  </si>
  <si>
    <t>ESPECTACULO DE MAGIA</t>
  </si>
  <si>
    <t>CICLO DE CINE MUDO Y MÚSICA</t>
  </si>
  <si>
    <t>MUSICA CON LAS ESTRELLAS</t>
  </si>
  <si>
    <t>LA PALMA JAZZ FESTIVAL</t>
  </si>
  <si>
    <t>FESTIVAL DE FADO</t>
  </si>
  <si>
    <t>SUBVENCIÓN AYTO. EL PASO FORMACIÓN TEATRAL</t>
  </si>
  <si>
    <t>SUBVENCIÓN AYTO. LOS LLANOS DE ARIDANE FORMACIÓN TEATRAL</t>
  </si>
  <si>
    <t>SUBVENCIÓN AYTO. TAZACORTE FORMACIÓN TEATRAL</t>
  </si>
  <si>
    <t>SUBVENCIÓN AYTO. BREÑA ALTA XII FESTIVAL DE CUENTOS</t>
  </si>
  <si>
    <t>SUBV. AYTO. BREÑA BAJA CICLOS CÁMARA SALINAS Y EUSTAQUIO SICILIA</t>
  </si>
  <si>
    <t>SUBV. AYTO. TIJARAFE TALLER RECUPERACIÓN Y ARTE DE LOS VERSADORES</t>
  </si>
  <si>
    <t>SUBV. AYTO. VILLA DE GARAFÍA FORMACIÓN TEATRAL</t>
  </si>
  <si>
    <t>SUBV. AYTO. DE TIJARAFE. FORMACIÓN TEATRAL</t>
  </si>
  <si>
    <t>SUBVENCIÓN ARTIFEX PROART, S.L. FESTIVAL ZARZUELA</t>
  </si>
  <si>
    <t>SUBVENCIÓN FESTIVALITO CHUKUMI STUDIO, S.L.</t>
  </si>
  <si>
    <t>SUBVENCIÓN ACAPO CICLO MÚSICA DE CÁMARA "JERÓNIMO SAAVEDRA ACEVEDO"</t>
  </si>
  <si>
    <t>SUBVENCIÓN TROVASIETA, S.L. CONCIERTO NAVIDAD</t>
  </si>
  <si>
    <t>SUBV. ASOC. CULTURAL FOLKLORICA TAJADRE. CONCIERTO NAVIDAD</t>
  </si>
  <si>
    <t>SUBV. PARRANDA LA PALMA "AYER, HOY Y SIEMPRE"</t>
  </si>
  <si>
    <t>SUBV.  GRUPO DE FARSA (MAZO) PROMPCIÓN Y ESCUELA DE TEATRO</t>
  </si>
  <si>
    <t>SUBV. PROYECTOS MUSICO-SOCIAL</t>
  </si>
  <si>
    <t>ARQUEOLOGÍA Y PROTECCIÓN DEL PATRIMONIO HIST-ART</t>
  </si>
  <si>
    <t>COMBUSTIBLE</t>
  </si>
  <si>
    <t>MATERIAL FUNGIBLE</t>
  </si>
  <si>
    <t>JORNADAS DE ARQUEOLOGÍA</t>
  </si>
  <si>
    <t>DIETAS MIEMBROS COMISIÓN PATRIMONIO HISTORICO</t>
  </si>
  <si>
    <t>RESTAURACIÓN DOCUMENTOS. TALLER DE CONSERVACIÓN DE DOCUMENTOS GRAFICOS</t>
  </si>
  <si>
    <t>PUBLICACIONES TALLER DE RESTAURACIÓN DE DOCUMENTOS GRAFICOS</t>
  </si>
  <si>
    <t>GASTOS DIVERSOS MUSEO ARQUEOLOGICO BENAHORITA</t>
  </si>
  <si>
    <t>OTROS GASTOS DIVERSOS TALLER</t>
  </si>
  <si>
    <t>EXCAVACIONES ARQUEOLÓGICAS</t>
  </si>
  <si>
    <t>ELABORACIÓN CARTAS ARQUEOLÓGICAS Y ETNOGRÁFICAS</t>
  </si>
  <si>
    <t>CONVENIO CON EL CICOP</t>
  </si>
  <si>
    <t>MEJORAS EN ZONAS ARQUEOLÓGICAS</t>
  </si>
  <si>
    <t>RESTAURACIÓN DE PIEZAS FOTOGRÁFICAS CONSERVADAS EN EL ARCHIVO INSULAR</t>
  </si>
  <si>
    <t>DIGITALIZACIÓN DOCUMENTOS DEL CENTRO DE DOCUMENTACIÓN MEMORÍA HISTÓRICA</t>
  </si>
  <si>
    <t>DINAMIZACIÓN DEL MAB</t>
  </si>
  <si>
    <t>ELABORACIÓN INVENTARIO. MUSEO ARQUEOLOGICO</t>
  </si>
  <si>
    <t>SUBV. GOBIERNO DE CANARIAS PARA EL IV CONGRESO MUNDIAL ITLIA</t>
  </si>
  <si>
    <t>SUBV. OBISPADO INFORMATIZACIÓN LIBROS BAUTISMALES</t>
  </si>
  <si>
    <t>SUBV. PARROQUIA SAN ANDRÉS Y SAUCES ENMARCACIÓN TABLA CORONACIÓN DE LA VIRGEN Y ADECUACIÓN RETABLO VIRGEN DE LA CARIDAD</t>
  </si>
  <si>
    <t>SUBV. PARROQUIA DEL SALVADOR RESTAURACIÓN RETABLO SAN JUAN</t>
  </si>
  <si>
    <t>SUBV. ASOC. MEMORIA HISTÓRICA LA PALMA IDENTIF. RESTOS Y GTOS FUNCION</t>
  </si>
  <si>
    <t>ACONDICIONAMIENTO EXTERIORES CASA PINTO</t>
  </si>
  <si>
    <t>REFORMA II FASE PLAZA LAS ANGUSTIAS. URBANIZACIÓN APARCAMIENTOS Y JARDINES</t>
  </si>
  <si>
    <t>RESTAURACIÓN IMAGEN RESUCITADO NTRA. SRA. DE LOS DOLORES</t>
  </si>
  <si>
    <t>REMODELACIÓN ZONAS EXPOSITIVAS</t>
  </si>
  <si>
    <t>MEJORAS DE ACCESIBILIDAD A LA CASA MASSIEU TAZACORTE</t>
  </si>
  <si>
    <t>EQUIPAMIENTO MUSEO ARQUEOLÓGICO</t>
  </si>
  <si>
    <t>SUBV. IGLESIA DE SAN NICOLAS DE BARI REMODELACIÓN ENTORNO BIC IGLESIA</t>
  </si>
  <si>
    <t>SUBVENCIÓN OBISPADO PARA RESTAURACIÓN DE BIENES MUEBLES E INMUEBLES</t>
  </si>
  <si>
    <t>SUBV. ASOC. MEMORIA HISTÓRICA LA PALMA INVERSIÓN</t>
  </si>
  <si>
    <t>FIESTAS POPULARES Y FESTEJOS</t>
  </si>
  <si>
    <t>ACTUACIONES CULTURALES EN FIESTAS POPULARES</t>
  </si>
  <si>
    <t>SUBV. AYTO. S/C DE LA PALMA FIESTA INDIANOS</t>
  </si>
  <si>
    <t>SUBV. AYTO. TIJARAFE FIESTA VALOR ETNOGRÁFICO DANZA DEL DIABLO</t>
  </si>
  <si>
    <t>SUBV. AYTO. TAZACORTE FIESTA VALOR ETNOGRÁFICO SAN MIGUEL Y CABALLOS FUFOS</t>
  </si>
  <si>
    <t>SUBV. AYTO. EL PASO FIESTA VALOR ETNOGRÁFICO CORAZÓN DE JESÚS</t>
  </si>
  <si>
    <t>SUBV. AYTO. FUENCALIENTE FIESTA VALOR ETNOGRÁFICO VENDIMIA - CABALLOS FUSCOS</t>
  </si>
  <si>
    <t>SUBV. AYTO. VILLA DE MAZO FIESTA VALOR ETNOGRÁFICO CORPUS CHRISTI</t>
  </si>
  <si>
    <t>SUBV. AYTO. BREÑA BAJA FIESTA VALOR ETNOGRÁFICO CRUCES</t>
  </si>
  <si>
    <t>SUBV. AYTO. BREÑA ALTA FIESTA VALOR ETNOGRÁFICO CRUCES</t>
  </si>
  <si>
    <t>SUBV. AYTO. S/C DE LA PALMA FIESTA VALOR ETNOGRÁFICO MAYOS</t>
  </si>
  <si>
    <t>SUBV. AYTO. DE TAZACORTE PARA LA ORGANIZACIÓN FIESTA PATRÓN INSULAR</t>
  </si>
  <si>
    <t>SUBV. AYTO. EL PASO FESTIVAL DE PASO</t>
  </si>
  <si>
    <t>SUBV. AYTO. LOS LLANOS FIESTA DEL AGUA</t>
  </si>
  <si>
    <t>SUBV. AYTO. S/C DE LA PALMA HOLI FESTIVAL</t>
  </si>
  <si>
    <t>SUBV. AYTO. LOS LLANOS FESTIVAL MUSICAL JAZZ HEINEKEN &amp; MAS</t>
  </si>
  <si>
    <t>SUBV. AYTO. LOS LLANOS CONTIGO AL MEDIODIA</t>
  </si>
  <si>
    <t>SUBV. ASOC. VECINOS EL CABOCO HOYO DE MAZO FIESTA VALOR ETNOGRÁFICO BORRACHITO FOGATERO</t>
  </si>
  <si>
    <t>SUBV. ASOC. VECINOS LAGARTIJEROS DE SAN ANDRÉS FIESTA VALOR ETNOGRÁFICO CORPUS CHRISTI</t>
  </si>
  <si>
    <t>SUBV. ASOCIACIÓN AMIGOS CRUCES BARLOVENTO CELEBRACIÓN DÍA DE CANARIAS</t>
  </si>
  <si>
    <t>JUVENTUD</t>
  </si>
  <si>
    <t>MATERIAL DE OFICINA. OFICINA INSULAR DE LA JUVENTUD</t>
  </si>
  <si>
    <t>COMUNICACIONES POSTALES JUVENTUD</t>
  </si>
  <si>
    <t>GASTOS DIVERSOS JUVENTUD</t>
  </si>
  <si>
    <t>PUBLICIDAD Y PROPAGANDA PARTICIPACIÓN JUVENTUD</t>
  </si>
  <si>
    <t>FORMACIÓN Y JORNADAS JUVENTUD</t>
  </si>
  <si>
    <t>ACTIVIDADES JUVENTUD</t>
  </si>
  <si>
    <t>PROGRAMA ATENCIÓN SEXUALIDAD JUVENIL</t>
  </si>
  <si>
    <t xml:space="preserve">CERTAMEN DE MÚSICA JOVEN SAPEROCKO </t>
  </si>
  <si>
    <t>PROYECTO PREVENCIÓN ACOSO ESCOLAR Y PELIGROS REDES SOCIALES</t>
  </si>
  <si>
    <t>EDUCACIÓN VIAL PARA JOVENES</t>
  </si>
  <si>
    <t>PROYECTO TALLER ASTRONOMO JUVENIL</t>
  </si>
  <si>
    <t>SUBVENCIONES AYUNTAMIENTOS ACTIVIDADES JUVENILES</t>
  </si>
  <si>
    <t>SUBVENCIONES ACTIVIDADES PARA JÓVENES, ASOCIACIONES</t>
  </si>
  <si>
    <t>CONSEJO INSULAR JUVENTUD (CONSTITUC Y GTOS. FUNCIONAMIENTO)</t>
  </si>
  <si>
    <t>SUBV. ASOC. CULTURAL CHARLAS DE CINE FESTIVAL CINE FANTASTICO LA PALMA</t>
  </si>
  <si>
    <t>ADQUISICIÓN MOBILIARIO Y ENSERES</t>
  </si>
  <si>
    <t>INVERSIONES JUVENTUD</t>
  </si>
  <si>
    <t>CONVENIO LOCAL DE ENSAYO SAPEROCKO</t>
  </si>
  <si>
    <t>SUBV. ASOCIACIÓN JUVENIL GAYFA ADQUISICIÓN INSTRUMENTOS</t>
  </si>
  <si>
    <t>ADMINISTRACIÓN GENERAL DEPORTES</t>
  </si>
  <si>
    <t>SUELDOS FUNCIONARIOS A1</t>
  </si>
  <si>
    <t>TRIENIOS PERSONAL FUNCIONARIO</t>
  </si>
  <si>
    <t>ALQUILER LOCAL DEPORTES</t>
  </si>
  <si>
    <t>DIVERSOS GASTOS DE MANTENIMIENTO</t>
  </si>
  <si>
    <t>MATERIAL DE OFICINA DEPORTES</t>
  </si>
  <si>
    <t>MATERIAL INFORMATICO NO INVENTARIABLE</t>
  </si>
  <si>
    <t>SUMINISTROS VARIOS</t>
  </si>
  <si>
    <t>OTRO GASTOS DIVERSOS</t>
  </si>
  <si>
    <t>PROMOCIÓN Y FOMENTO DEL DEPORTE</t>
  </si>
  <si>
    <t>INDUMENTARIA DEPORTIVA REPRESENTATIVA LA PALMA</t>
  </si>
  <si>
    <t>TROFEOS, MEDALLAS Y RECONOCIMIENTO ACTIVIDADES Y EVENTOS DEPORTIVOS</t>
  </si>
  <si>
    <t>SEGURO PROMOC. DEPORTIVA Y EVENTOS CABILDO</t>
  </si>
  <si>
    <t>TRIBUTOS DEL ESTADO</t>
  </si>
  <si>
    <t>TRIBUTOS DE LAS ENTIDADES LOCALES</t>
  </si>
  <si>
    <t>PUBLICIDAD Y PROPAGANDA DEPORTES</t>
  </si>
  <si>
    <t>PUBLICIDAD EN DIARIOS OFICIALES</t>
  </si>
  <si>
    <t>JORNADAS Y CURSOS DE FORMACIÓN DEPORTIVA</t>
  </si>
  <si>
    <t>COPA LA PALMA PADEL</t>
  </si>
  <si>
    <t>PRESTACIÓN SERVICIOS COMUNICACIÓN Y REDES</t>
  </si>
  <si>
    <t>JUEGOS DEPORTIVOS Y CAMPAÑAS DEPORTIVAS</t>
  </si>
  <si>
    <t>CAMPAMENTOS DE VERANO</t>
  </si>
  <si>
    <t>CURSOS DE NATACIÓN</t>
  </si>
  <si>
    <t>ACTIVIDADES Y EVENTOS DEPORTIVOS</t>
  </si>
  <si>
    <t>CAMPUS LÚDICOS</t>
  </si>
  <si>
    <t>MATERIAL DEPORTIVO ACTIVIDADES PROPIAS</t>
  </si>
  <si>
    <t>MONITORIZACIÓN ACTIVIDADES Y EVENTOS</t>
  </si>
  <si>
    <t>GALA INSULAR DEL DEPORTE</t>
  </si>
  <si>
    <t>CONCENTRACIÓN DEPORTISTAS INTERNACIONALES EN LA PALMA</t>
  </si>
  <si>
    <t>GASTOS CORRIENTES VELA</t>
  </si>
  <si>
    <t>SOCORRISMO ACUATICO MIRAFLORES EN ACTIVIDADES DEPORTIVAS</t>
  </si>
  <si>
    <t>SERVICIO DE PREVENCIÓN Y SEGURIDAD ACTIVIDADES Y EVENTOS DEPORTIVOS</t>
  </si>
  <si>
    <t xml:space="preserve">APORTACIÓN SODEPAL: TRANSVULCANIA </t>
  </si>
  <si>
    <t>APORTACIÓN SODEPAL: FESTIVAL DE SENDERISMO</t>
  </si>
  <si>
    <t xml:space="preserve">APORTACIÓN SODEPAL: LA PALMA ECUESTRE </t>
  </si>
  <si>
    <t>APORTACIÓN SODEPAL: TRANSVULCANIA BIKE</t>
  </si>
  <si>
    <t>PLAN PROMOCIÓN DEPORTIVA BÁSICA MONITORES</t>
  </si>
  <si>
    <t>PLAN PROMOCIÓN DEPORTIVA COLECTIVOS ATENCIÓN ESPECIAL</t>
  </si>
  <si>
    <t>CONVENIO PROMOCIÓN DEPORTIVA BÁSICA MATERIAL DEPORTIVO</t>
  </si>
  <si>
    <t>CONVENIO PROMOCIÓN DEPORTIVA BÁSICA INDUMENTARIA DEPORTIVA</t>
  </si>
  <si>
    <t>SUBVENCIÓN EVENTOS DEPORTIVOS AYUNTAMIENTOS</t>
  </si>
  <si>
    <t>SUBVENCIONES AYUDAS AL DEPORTE</t>
  </si>
  <si>
    <t>SUBVENCIÓN ASOC. AMIGOS DEL DOMINÓ DE LA PALMA. LIGA INSULAR</t>
  </si>
  <si>
    <t>SUBV. CLUB DE ARRASTRE LA CANGA. LIGA INSULAR</t>
  </si>
  <si>
    <t>SUBV. CLUB AUARITA VIVA PROMOCIÓN Y TECNIFICACIÓN VOLEY</t>
  </si>
  <si>
    <t>CONVENIO FEDERACIÓN INSULAR DE BALONCESTO PROMOC. Y TECNIFICACIÓN</t>
  </si>
  <si>
    <t>CONVENIO FEDERACIÓN INSULAR LUCHA CANARIA PROMOC. Y TECNIFICACIÓN</t>
  </si>
  <si>
    <t>SUBV. CD MENSAJERO AYUDA DESPLAZAMIENTO 3º DIV</t>
  </si>
  <si>
    <t>CONVENIO FEDERACIÓN INSULAR DE AUTOMOVILISMO PROMOCIÓN Y TECNIFICACIÓN</t>
  </si>
  <si>
    <t>SUBV. ASOC. CANARIA FUTBOL SALA PROMOCIÓN Y TECNIFICACIÓN</t>
  </si>
  <si>
    <t>SUBV. CLUB BADMINTON LA PALMA DROP PROMOCIÓN Y TECNIFICACIÓN</t>
  </si>
  <si>
    <t>SUBVENCIONES DEPORTISTAS PALMEROS DE ÉLITE Y ENTRENADORES</t>
  </si>
  <si>
    <t>CONVENIO FEDERACIÓN CANARIA BARQUILLOS VELA LATINA</t>
  </si>
  <si>
    <t>BECAS DEPORTISTAS ALTO NIVEL Y RENDIMIENTO</t>
  </si>
  <si>
    <t>CONVENIO FEDERACIÓN INSULAR DE PETANCA Y BOLA CANARIA PROMOCIÓN</t>
  </si>
  <si>
    <t>CONVENIO FEDERACIÓN CANARIA ATLETISMO PROMOCIÓN Y FORMACIÓN</t>
  </si>
  <si>
    <t>SUBV. CLUB. DEP. TARSA AYUDA DESPLAZAMIENTO 2ª DIV. NACIONAL FEMENINA</t>
  </si>
  <si>
    <t>SUBV. CLUB T.M. DEFENSE AYUDA DESPLAZAMIENTO</t>
  </si>
  <si>
    <t>SUBV. CLUB TD. TEMESPIN AYUDA DESPLAZAMIENTO</t>
  </si>
  <si>
    <t>SUBV. SOC. DEPORTIVA TENISCA AYUDA DESPLAZAMIENTO (3ª DIV.)</t>
  </si>
  <si>
    <t>SUBV. CLUB BALONC. ARIDANE AYUDA DESPLAZAMIENTO</t>
  </si>
  <si>
    <t>SUBV. CLUB BALONC. FELIPE ANTON DESPLAZAMIENTO</t>
  </si>
  <si>
    <t xml:space="preserve">CONVENIO FEDERACIÓN TENIS DE MESA  PROMOCIÓN Y TECNIFICACIÓN </t>
  </si>
  <si>
    <t>SUBVENCIÓN SALTO PASTOR JURRIA TENERRA  PROMOCIÓN Y TECNIFICACIÓN</t>
  </si>
  <si>
    <t>CONVENIO FEDERACIÓN GIMNASIA RITMICA  PROMOCIÓN Y TECNIFICACIÓN</t>
  </si>
  <si>
    <t>SUBV. CLUB BALONCESTO DOMINICAS LA PALMA DESPLAZAMIENTO</t>
  </si>
  <si>
    <t>CONVENIO FEDERACIÓN AJEDREZ PROMOCIÓN Y TECNIFICACIÓN</t>
  </si>
  <si>
    <t>SUBV. EVENTOS DEPORTIVOS ENTIDADES PRIVADAS</t>
  </si>
  <si>
    <t>SUBV. ASOC. DEPORTIVA APRENDER JUGANDO CANARIAS PROMOCIÓN Y TECNIFICACIÓN</t>
  </si>
  <si>
    <t>SUBV. CLUB LUCHA TENERCINA DESPLAZAMIENTOS</t>
  </si>
  <si>
    <t>SUBV. CENTRO INSULAR AJEDREZ ESCUELA DAMIAN LEMOS LA PALMA</t>
  </si>
  <si>
    <t>SUBV. CLUB JUDO SHUNEN DESPLAZAMIENTOS</t>
  </si>
  <si>
    <t>SUBV. CLUB LUCHA ARIDANE DESPLAZAMIENTOS</t>
  </si>
  <si>
    <t>CONVENIO FEDERACIÓN CANARIA DE VELA PROMOCIÓN Y TECNIFICACIÓN</t>
  </si>
  <si>
    <t>SUBV. FEDERACIÓN LOS LLANOS ARIDANE CPTO. CANARIAS FUTBOL SUB-15</t>
  </si>
  <si>
    <t>SUBV. LIMONIUM CANARIAS PARADISE O-LA PALMA INTERNACIONAL</t>
  </si>
  <si>
    <t>SUBV. SANTI CONCEPCIÓN TEAM AUTOMOVILISMO AYUDA PARTICIPACIÓN CAMPEONATO ESPAÑA KARTING</t>
  </si>
  <si>
    <t>SUBV. ANTONIO ACOSTA AUTOMOVILISMO AYUDA PARTICIPACIÓN COPA TOYOTA</t>
  </si>
  <si>
    <t>SUBV. CLUB JUDO GODZILLA STAFF NACIONAL</t>
  </si>
  <si>
    <t>INVERSIONES VELA</t>
  </si>
  <si>
    <t>INSTALACIONES DEPORTIVAS</t>
  </si>
  <si>
    <t>RENTING VEHICULOS DEPORTES</t>
  </si>
  <si>
    <t>MANTENIMIENTO CAMPOS DE FÚTBOL</t>
  </si>
  <si>
    <t>MANTENIMIENTO DE VEHÍCULOS Y MAQUINARIA</t>
  </si>
  <si>
    <t>ENERGÍA ELÉCTRICA CIUDAD DEPORTIVA MIRAFLORES</t>
  </si>
  <si>
    <t>AGUA</t>
  </si>
  <si>
    <t>OBRAS MIRAFLORES</t>
  </si>
  <si>
    <t>INVERSIONES DEPORTES</t>
  </si>
  <si>
    <t>ADQUISICIÓN EQUIPOS INFORMÁTICOS</t>
  </si>
  <si>
    <t>GASTOS EN APLICACIONES INFORMÁTICAS</t>
  </si>
  <si>
    <t>SUBV. AYTO. BARLOVENTO CIRCUITO MOTOCROSS</t>
  </si>
  <si>
    <t>SUBV. AYTO. BREÑA ALTA INSTALACIONES DEPORTIVA AEROPUERTO VIEJO</t>
  </si>
  <si>
    <t>ADMINISTRACIÓN GENERAL DE AGRICULTURA, GANADERIA Y PESCA</t>
  </si>
  <si>
    <t>SUELDOS GRUPO E</t>
  </si>
  <si>
    <t>ARRENDAMIENTO ELEMENTO DE TRANSPORTE</t>
  </si>
  <si>
    <t>REPARACIÓN, MANTENIMIENTO Y CONSERVACIÓN DE ELEMENTOS DE TRANSPORTE</t>
  </si>
  <si>
    <t>MATERIAL DE OFICINA AGRICULTURA</t>
  </si>
  <si>
    <t>LIBROS, REVISTAS, PRENSA Y OTRAS PUBLICACIONES</t>
  </si>
  <si>
    <t>COMBUSTIBLES Y CARBURANTES</t>
  </si>
  <si>
    <t>ATENCIONES PROTOCOLARIAS Y REPRESENTANTIVAS</t>
  </si>
  <si>
    <t>PUBLICIDAD Y PROPAGANDA AGRICULTURA/GANADERIA Y PESCA</t>
  </si>
  <si>
    <t>PUBLICACIÓN EN DIARIOS OFICIALES</t>
  </si>
  <si>
    <t>SEMINARIOS/ SERVICIO AGRIC./GAN./PESCA</t>
  </si>
  <si>
    <t>AGRICULTURA CUOTA ADER</t>
  </si>
  <si>
    <t>FERIAS AGRARIAS, PESQUERAS Y GANADERAS</t>
  </si>
  <si>
    <t>PROMOCIÓN GASTRONÓMICA DE PRODUCTOS DE LA PALMA</t>
  </si>
  <si>
    <t>GASTOS DIVERSOS AGRICULTURA</t>
  </si>
  <si>
    <t>PRESTACIÓN SERVICIOS</t>
  </si>
  <si>
    <t>MANTENIMIENTO JARDINES DEPENDENCIAS AGRICULTURA</t>
  </si>
  <si>
    <t xml:space="preserve">MOBILIARIO Y ENSERES </t>
  </si>
  <si>
    <t>OTRAS INVERSIONES</t>
  </si>
  <si>
    <t>MEJORAS DE LAS ESTRUCTURAS AGROPECUARIAS Y DE LOS SISTEMAS PRODUCTIVOS</t>
  </si>
  <si>
    <t>INVERSIONES PLAN FORRAJERO</t>
  </si>
  <si>
    <t>BALSA LA CALDERETA ABONO REVISIÓN PRECIOS SENTENCIA JUDICIAL</t>
  </si>
  <si>
    <t>SUBV. AYTO. PUNTAGORDA OBRA EDIF. MERCADILLO MUNICIPAL</t>
  </si>
  <si>
    <t>GANADERÍA</t>
  </si>
  <si>
    <t>REPARACIÓN MAQUINARIA GANADERÍA</t>
  </si>
  <si>
    <t>MANUTENCIÓN DE ANIMALES</t>
  </si>
  <si>
    <t>PRODUCTOS FARMACÉUTICOS GANADERÍA</t>
  </si>
  <si>
    <t>SEMILLAS GANADERÍA</t>
  </si>
  <si>
    <t>OTROS GASTOS DIVERSOS FINCA EXPERIMENTAL</t>
  </si>
  <si>
    <t>SERVICIO COMPOSTAJE FINCA</t>
  </si>
  <si>
    <t>SUBVENCIÓN AYTO. BREÑA ALTA FERIA GANADERA</t>
  </si>
  <si>
    <t>SUBVENCIÓN AYTO. GARAFÍA FERIA GANADERA</t>
  </si>
  <si>
    <t>SUBVENCIÓN AYTO. LOS LLANOS DE ARIDANE FERIA GANADERA</t>
  </si>
  <si>
    <t>SUBVENCIÓN AYTO. PUNTALLANA FERIA GANADERA</t>
  </si>
  <si>
    <t>SUBVENCIÓN AYTO. EL PASO FERIA GANADERA</t>
  </si>
  <si>
    <t>CONVENIO AVAPAL CENTRO TESTAJE</t>
  </si>
  <si>
    <t>ADQUISICIÓN VEHICULO GRANJA</t>
  </si>
  <si>
    <t>ADQUISICIÓN ANIMALES</t>
  </si>
  <si>
    <t>OBRAS FINCA Y ADQUISIC. MAQUIN.</t>
  </si>
  <si>
    <t>DESARROLLO RURAL</t>
  </si>
  <si>
    <t>SUBVENCIÓN ADER GASTOS DE FUNCIONAMIENTO</t>
  </si>
  <si>
    <t>SUBVENCIÓN ADER EQUIPAMIENTO OFICINAS</t>
  </si>
  <si>
    <t>REPARACIÓN MAQUINARIA</t>
  </si>
  <si>
    <t>MATERIAL TÉCNICO LABORATORIO</t>
  </si>
  <si>
    <t>CONV. CONSEJO SUPERIOR INVESTIG. CIENTÍFICAS PLAN DE TRANSFERENCIAS DE CONOCIMIENTOS</t>
  </si>
  <si>
    <t>EQUIPOS PROCESO DE INFORMACIÓN</t>
  </si>
  <si>
    <t>ADQUISICIÓN DE MAQUINARIA Y OBRAS</t>
  </si>
  <si>
    <t>CENTRAL HORTOFRUTÍCOLA</t>
  </si>
  <si>
    <t>ARRENDAMIENTOS DE MAQUINARIA, INSTAL. Y UTILLAJE</t>
  </si>
  <si>
    <t>CONSERVACIÓN Y REPARACIÓN EDIFICIOS</t>
  </si>
  <si>
    <t>CONSERVACIÓN Y REPARACIÓN MAQUINARIA</t>
  </si>
  <si>
    <t>CENTRAL TRANSPORTES</t>
  </si>
  <si>
    <t>PRIMA SEGURO</t>
  </si>
  <si>
    <t>GASTOS DIVERSOS CENTRAL</t>
  </si>
  <si>
    <t>INVERSIONES CENTRAL HORTOFRUTÍCOLA</t>
  </si>
  <si>
    <t>OTRAS ACTUACIONES EN AGRICULTURA,GANADERÍA Y PESCA</t>
  </si>
  <si>
    <t>CAMPAÑA DESRATIZACIÓN Y CONTROL DE PLAGAS</t>
  </si>
  <si>
    <t>SERVICIO PARTES METEOROLÓGICOS Y CONTROL PLAGAS</t>
  </si>
  <si>
    <t>APORTACIÓN SODEPAL PROYECTO CENTRO AGRODIVERSIDAD</t>
  </si>
  <si>
    <t>APORTACIÓN SODEPAL PROYECTO MARÍTIMO PESQUERO</t>
  </si>
  <si>
    <t>APORTACIÓN SODEPAL PROYECTO PLANIFICACIÓN Y COMERCIALIZACIÓN</t>
  </si>
  <si>
    <t>SUBV. C.R.D.O. QUESO PALMERO. PROMOCIÓN QUESO PALMERO</t>
  </si>
  <si>
    <t>SUBV. C.R.D.O. DEL VINO DE LA PALMA, PROMOCIÓN VINOS DE LA PALMA</t>
  </si>
  <si>
    <t>APORTACIÓN FUNDACIÓN ALHÓNDIGA</t>
  </si>
  <si>
    <t>SUBVENCIONES AGR. GAN. Y PESCA</t>
  </si>
  <si>
    <t>SUBVENCIONES FOMENTO ESTUDIOS SECTOR PRIMARIO</t>
  </si>
  <si>
    <t>APORTACIÓN CENTRO I. DE AGRICULTURA BIOLÓGICA</t>
  </si>
  <si>
    <t>SUBV. COFRADIA PESCADORES NTA. SRA. DEL CARMEN GASTOS FUNCIONAMIENTO</t>
  </si>
  <si>
    <t>SUBV. COFRADIA PESCADORES NTRA. SRA. DE LAS NIEVES GASTOS FUNCIONAMIENTO</t>
  </si>
  <si>
    <t>SUBV. CONSEJO REGULADOR D.O. DEL QUESO PALMERO GASTOS FUNCIONAMIENTO</t>
  </si>
  <si>
    <t>SUBV. CONSEJO REGULADOR D.O. VINOS DE LA PALMA GASTOS FUNCIONAMIENTO</t>
  </si>
  <si>
    <t>SUBV. ASOC. AGROGANADERA EL FRESCAL PARA TRILLADO DE CEREAL</t>
  </si>
  <si>
    <t>SUBV. AGAP PROMOCIÓN PRODUCTOS PALMEROS</t>
  </si>
  <si>
    <t>SUBV. ASOC. AGROFIESTA ECOLÓGICA SOLIDARIA LA PALMA. GASTOS ORGANIZACIÓN AGROFIESTA</t>
  </si>
  <si>
    <t>SUBV. ASOC. DE CATADORES EL ALMUD. GASTOS FUNCIONAMIENTO</t>
  </si>
  <si>
    <t>SUBVENCIONES INVERSIONES SECTOR PRIMARIO</t>
  </si>
  <si>
    <t>ADMINISTRACIÓN GENERAL DE INDUSTRIA Y ENERGÍA</t>
  </si>
  <si>
    <t>LIBROS, PRENSA, REVISTAS Y OTRAS COMUNICACIONES</t>
  </si>
  <si>
    <t>INDUSTRIA</t>
  </si>
  <si>
    <t>ASISTENCIA TÉCNICA INDUSTRIA</t>
  </si>
  <si>
    <t>APORTACIÓN SODEPAL CENTRO EMPRESARIAL E INDUSTRIAL LA PALMA</t>
  </si>
  <si>
    <t>APORTACIÓN SODEPAL ESTRATEGÍA PARA LA INDUSTRIA EN LA PALMA</t>
  </si>
  <si>
    <t>ENERGÍA</t>
  </si>
  <si>
    <t>CONSEJO INSULAR DE LA ENERGIA</t>
  </si>
  <si>
    <t>JORNADAS POLÍTICA Y ENERGÍA</t>
  </si>
  <si>
    <t>APORTACIÓN SODEPAL PLAN DE TRANSICIÓN ENERGÉTICA</t>
  </si>
  <si>
    <t>INVERSIONES EFICIENCIA ENÉRGETICA</t>
  </si>
  <si>
    <t>SUBV. AYTO. TIJARAFE ELECTRIFICACIÓN MIRANDA</t>
  </si>
  <si>
    <t>SUBV. FOMENTO AUTOCONSUMO ENERGÉTICO</t>
  </si>
  <si>
    <t>ARTESANÍA</t>
  </si>
  <si>
    <t>MATERIAL TÉCNICO Y DECORACIÓN ESCUELA</t>
  </si>
  <si>
    <t>TRANSPORTE DOCUMENTOS</t>
  </si>
  <si>
    <t>PUBLICIDAD Y PROPAGANDA CENTROS DE VENTA</t>
  </si>
  <si>
    <t>CURSOS</t>
  </si>
  <si>
    <t>FERIA INSULAR DE ARTESANÍA Y ALIMENTACIÓN</t>
  </si>
  <si>
    <t>ACTIVIDADES DIVERSAS</t>
  </si>
  <si>
    <t>FERIA REGIONAL DE ARTESANÍA Y OTROS EVENTOS</t>
  </si>
  <si>
    <t>PUBLICACIONES ARTESANÍA</t>
  </si>
  <si>
    <t>SERVICIO DE RESTAURACIÓN DE PATRONES DE BORDADO</t>
  </si>
  <si>
    <t xml:space="preserve">APORTACIÓN SODEPAL PROYECTO LA PALMA ARTESANÍA </t>
  </si>
  <si>
    <t xml:space="preserve">SUBV. AYTO. EL PASO GEST. MUSEO SEDA </t>
  </si>
  <si>
    <t>SUBVENCIÓN HILANDERAS EL PASO GASTOS CORRIENTES</t>
  </si>
  <si>
    <t>SUBV. GASTOS CORRIENTES ARTESANOS LA PALMA</t>
  </si>
  <si>
    <t>EQUIPAMIENTO FERIA INSULAR</t>
  </si>
  <si>
    <t>EQUIPAMIENTO CENTROS DE VENTA ARTESANÍA</t>
  </si>
  <si>
    <t>EQUIPAMIENTO CARPA</t>
  </si>
  <si>
    <t>COMERCIO</t>
  </si>
  <si>
    <t>CONVENIO CÁMARA DE COMERCIO</t>
  </si>
  <si>
    <t>ACCIONES PROMOCIÓN Y DINAMIZACIÓN COMERCIO CAMPAÑA NAVIDAD</t>
  </si>
  <si>
    <t>DINAMIZACIÓN SOCIOECONÓMICA</t>
  </si>
  <si>
    <t>SUBV. ASOC. COMERCIANTES-EMPRESARIOS GASTOS FUNCIONAMIENTO</t>
  </si>
  <si>
    <t>SUBV. FEDERACIÓN EMPRESARIOS (FEDEPALMA) PRODUCTIVIDAD Y COMPETITIVIDAD DE EMPRESAS PALMERAS</t>
  </si>
  <si>
    <t>SUBV. FEDERACIÓN EMPRESAS (FAEP) PARA APROVECHAMIENTO COMERCIO CONSUMIDOR EXTRANJERO</t>
  </si>
  <si>
    <t>SUBV. ASOC. PROFESIONALES DE LA PALMA ASESORAMIENTO Y FORMACIÓN PARA LAS PYMES</t>
  </si>
  <si>
    <t>SUBV. AYTO LOS LLANOS INVERESION ZZCCAA PUERTO NAOS</t>
  </si>
  <si>
    <t>ORDENACIÓN Y PROMOCIÓN TURÍSTICA</t>
  </si>
  <si>
    <t xml:space="preserve">MATERIAL INFORMÁTICO </t>
  </si>
  <si>
    <t>REPARACIÓN Y MANTENIMIENTO PANELES</t>
  </si>
  <si>
    <t>PRENSA REVISTAS Y PUBLICACIONES</t>
  </si>
  <si>
    <t>COMUNICACIONES INFORMÁTICAS</t>
  </si>
  <si>
    <t>REUNIONES, CURSOS Y CONFERENCIAS</t>
  </si>
  <si>
    <t>ACCIONES PROMOCIÓN ASTROTURISMO</t>
  </si>
  <si>
    <t>PROGRAMAS EUROPEOS ASTROTURISMO Y CONTAMINACIÓN LUMÍNICA</t>
  </si>
  <si>
    <t>ACCIONES DE PROMOCIÓN TURISMO OCIO ACTIVO</t>
  </si>
  <si>
    <t>ACCIONES DE PROMOCIÓN GASTRONÓMICO Y CULTURAL</t>
  </si>
  <si>
    <t>CONTRATO PATROCINIO TRAVESÍA A NADO</t>
  </si>
  <si>
    <t>OTROS CONTRATOS DE PATROCINIO PUBLICITARIO</t>
  </si>
  <si>
    <t>CONTRATO PATROCINIO UB ARIDANE</t>
  </si>
  <si>
    <t>CONTRATO PATROCINIO EXPOSICIÓN MANOLO BLAHNIK</t>
  </si>
  <si>
    <t>CONTRATO DE PATROCINIO PUBLICITARIO GASTRONOMICO</t>
  </si>
  <si>
    <t>CONTRATO DE PATROCINIO PUBLICITARIO REGATA ILES DU SOLEIL</t>
  </si>
  <si>
    <t>CONTRATO PATROCINIO FESTIVAL DE CINE ASTRONÓMICO "MICA"</t>
  </si>
  <si>
    <t>CONTRATO PATROCINIO DE FESTIVALITO</t>
  </si>
  <si>
    <t>CONTRATO PATROCINIO ACAPO FESTIVAL DE MÚSICA 2019</t>
  </si>
  <si>
    <t>EVENTOS PROMOCIÓN TURÍSTICA</t>
  </si>
  <si>
    <t>ASISTENCIAS A FERIAS</t>
  </si>
  <si>
    <t>PROMOCIÓN TURÍSTICA</t>
  </si>
  <si>
    <t>ASISTENCIAS TÉCNICAS TURÍSTICAS</t>
  </si>
  <si>
    <t>GESTIÓN SERVICIOS PROMOCIÓN TURÍSTICA MERCADOS EMISORES</t>
  </si>
  <si>
    <t>GESTIÓN OFICINAS INFORMACIÓN TURÍSTICAS</t>
  </si>
  <si>
    <t>GESTIÓN DE CENTROS DE INTERÉS TURÍSTICO</t>
  </si>
  <si>
    <t>SERVICIO PROMOCIÓN TURISMO DE CRUCEROS</t>
  </si>
  <si>
    <t>CONVENIO DIRECCIÓN GENERAL COSTAS. ESTUDIOS Y TRABAJOS TÉCNICOS</t>
  </si>
  <si>
    <t>GASTOS DE LOCOMOCIÓN</t>
  </si>
  <si>
    <t>APORTACIÓN SODEPAL FILM COMISSIÓN</t>
  </si>
  <si>
    <t>SUBVENCIÓN AYUNTAMIENTO DE VILLA DE MAZO CORPUS CHRISTI</t>
  </si>
  <si>
    <t>SUBV. AYTO. S/C DE LA PALMA, FIESTA DE LOS INDIANOS</t>
  </si>
  <si>
    <t>SUBV. CENTRO DE INICIATIVAS TURÍSTICAS</t>
  </si>
  <si>
    <t>SUBVENCIÓN ADER FORMACIÓN</t>
  </si>
  <si>
    <t>APORTACIÓN FUNDACIÓN CANARIA RESERVA DE LA BIOSFERA DESTINO SOSTENIBLE</t>
  </si>
  <si>
    <t>SUBVENCIÓN ASOCIACIONES TURISMO ACTIVO</t>
  </si>
  <si>
    <t>SUBVENCIÓN ASOCIACIONES EMPRESAS TURISMO RURAL</t>
  </si>
  <si>
    <t>SUBVENCIÓN PROMOCIÓN TURÍSTICA ASOCIACIÓN CARAVANISTAS DE LA ISLA DE LA PALMA</t>
  </si>
  <si>
    <t>SUBV. ASOCIACIÓN MOTEROS PALMEROS. GASTOS CONCENTRACIÓN AUTONÓMICA</t>
  </si>
  <si>
    <t>OTRAS OBRAS Y PROYECTOS TURÍSTICOS</t>
  </si>
  <si>
    <t>CONVENIO IAC ELECTRIFICACIÓN ROQUE LOS MUCHACHOS</t>
  </si>
  <si>
    <t>PROYECTO IBARROLA GARAFÍA</t>
  </si>
  <si>
    <t>SUBV. AYTO. DE TIJARAFE PARA MIRADOR DEL UNIVERSO</t>
  </si>
  <si>
    <t>SUBV. AYTO. SANTA CRUZ DE LA PALMA ASCENSOR PANORÁMICO</t>
  </si>
  <si>
    <t>SUBV. AYTO. DE BARLOVENTO MEJORA FAJANA Y ENTORNO</t>
  </si>
  <si>
    <t>SUBV. AYTO. SAN ANDRÉS Y SAUCES MEJORA DEL ENTORNO CASCADA DE LOS TILOS</t>
  </si>
  <si>
    <t>OTRAS ACTUACIONES SECTORIALES</t>
  </si>
  <si>
    <t>APORTACIÓN SODEPAL ORGANIZACIÓN Y EJECUCIÓN ISLA BONITA LOVE FESTIVAL</t>
  </si>
  <si>
    <t>APORTACIÓN SODEPAL FESTIVAL DEL MAR</t>
  </si>
  <si>
    <t>APORTACIÓN SODEPAL PROYECTO FOTONATURE</t>
  </si>
  <si>
    <t>APORTACIÓN SODEPAL PLAN INSULAR DE MODA</t>
  </si>
  <si>
    <t>APORTACIÓN SODEPAL PLAN INSULAR DE COMERCIO ZZCCAA</t>
  </si>
  <si>
    <t>APORTACIÓN SODEPAL FERIA DE OPORTUNIDADES</t>
  </si>
  <si>
    <t>APORTACIÓN SODEPAL FERIA DEL AUTOMOVIL</t>
  </si>
  <si>
    <t>ADMINISTRACIÓN GENERAL DEL TRANSPORTE</t>
  </si>
  <si>
    <t>RETRIBUCIONES BÁSICAS PERSONAL LABORAL</t>
  </si>
  <si>
    <t>GASTOS INFORMÁTICOS Y MANTENIMIENTO PROGRAMA</t>
  </si>
  <si>
    <t>PROMOCIÓN, MANTENIMIENTO Y DESARROLLO DEL TRANSPORTE</t>
  </si>
  <si>
    <t>MANTENIMIENTO MARQUESINAS</t>
  </si>
  <si>
    <t>CONTRATO PROGRAMA TRANSPORTES SERVICIO REGULAR</t>
  </si>
  <si>
    <t>SUBVENCIÓN BONOS TRANSPORTE DE VIAJEROS POR CARRETERA</t>
  </si>
  <si>
    <t>SUBVENCIÓN A LA EXPLOTACIÓN. TRANSPORTES INSULAR</t>
  </si>
  <si>
    <t>SUBVENCIÓN TRANSPORTE INSULAR LA PALMA SOC. COOP. A CUENTA DEFICIT 2015-2016</t>
  </si>
  <si>
    <t>SUBVENCIÓN A LA EXPLOTACIÓN TRANSPORTES INSULAR LA PALMA S. COOP. DÉFICIT EJERCICIO 2017</t>
  </si>
  <si>
    <t>SUBVENCIÓN A LA EXPLOTACIÓN TRANSPORTES INSULAR LA PALMA S. COOP.A CUENTA DEFICIT 2019</t>
  </si>
  <si>
    <t>EQUIPOS PARA PROCESOS DE INFORMACIÓN Y CONTROL</t>
  </si>
  <si>
    <t>INVERSIONES TRANSPORTES</t>
  </si>
  <si>
    <t>INFRAESTRUCTURA DEL TRANSPORTE</t>
  </si>
  <si>
    <t>CONSTRUCCIÓN DE MARQUESINAS</t>
  </si>
  <si>
    <t>ADMINISTRACIÓN GENERAL DE INFRAESTRUCTURA</t>
  </si>
  <si>
    <t>HORAS EXTRAORDINARIAS</t>
  </si>
  <si>
    <t>REPARACIÓN Y MANTENIMIENTO DE EQUIPOS INFORMÁTICOS</t>
  </si>
  <si>
    <t>INTERESES DE DEMORA INFRAESTRUCTURA</t>
  </si>
  <si>
    <t>RECURSO HIDRAULICOS</t>
  </si>
  <si>
    <t>APORTACIÓN CONSEJO INSULAR DE AGUAS</t>
  </si>
  <si>
    <t>CARRETERAS</t>
  </si>
  <si>
    <t>ARRENDAMIENTO VEHÍCULOS Y MAQUINARIA</t>
  </si>
  <si>
    <t>INFRAESTRUCTURA Y BIENES NATURALES CARRETERAS</t>
  </si>
  <si>
    <t>CONSERVACIÓN RED RECIBIDA</t>
  </si>
  <si>
    <t xml:space="preserve">REPARACIÓN INFRAESTR Y BIENES NATURALES DAÑOS VIAS </t>
  </si>
  <si>
    <t>CONSERVACIÓN TÚNEL LA CUMBRE Y VÍA EXTERIOR LP-20</t>
  </si>
  <si>
    <t>LIMPIEZA Y ACONDICIONAMIENTO RED VIARIA INSULAR</t>
  </si>
  <si>
    <t>ELEMENTOS DE TRANSPORTE</t>
  </si>
  <si>
    <t>SUMINISTRO ENERGÍA ELÉCTRICA</t>
  </si>
  <si>
    <t>SUMINISTRO AGUA</t>
  </si>
  <si>
    <t>COMBUSTIBLES Y CARBURANTES CARRETERAS</t>
  </si>
  <si>
    <t>VESTUARIO CARRETERAS</t>
  </si>
  <si>
    <t>SUMINISTRO DE RESPUESTOS DE MAQUINARIA,UTILLAJE Y ELEM TRANSPORTE</t>
  </si>
  <si>
    <t>TRIBUTOS LOCALES</t>
  </si>
  <si>
    <t>ENCUESTA DE INFRAESTRUCTURA</t>
  </si>
  <si>
    <t>INDEMNIZACIONES DAÑOS RESPONSABILIDAD PATRIMONIAL</t>
  </si>
  <si>
    <t>EDUCACIÓN VIAL Y OTROS</t>
  </si>
  <si>
    <t>SAN BERNARDO SAFE BIKE 2019</t>
  </si>
  <si>
    <t xml:space="preserve">PLAN INSULAR DE COOPERACIÓN MUNICIPAL: SERVICIOS </t>
  </si>
  <si>
    <t>INVERSIONES EN TERRENOS DESTINADOS AL USO GENERAL</t>
  </si>
  <si>
    <t>INVERSIONES  ACONDICIONAMIENTO DE CARRETERAS</t>
  </si>
  <si>
    <t xml:space="preserve">OBRAS CARRETERA DE EL REMO </t>
  </si>
  <si>
    <t>PROYECTO ACONDICIONAMIENTO ESTETICO MARGENES CARRETERAS</t>
  </si>
  <si>
    <t xml:space="preserve">INVERSIONES INFRAESTRUCTURAS FDCAN 2019 </t>
  </si>
  <si>
    <t>IMPERMEABILIZACIÓN Y ACONDICIONAMIENTO TUNEL VIEJO DE LA CUMBRE (LP-3)</t>
  </si>
  <si>
    <t>OBRA ACONDICIONAMIENTO Y MEJORA DE LA CARRETARA P-4, ROQUE DE LOS MUCHACHOS</t>
  </si>
  <si>
    <t>MAQUINARIA, INSTALACIONES TÉCNICAS Y UTILLAJE</t>
  </si>
  <si>
    <t>ELEMENTOS TRANSPORTES</t>
  </si>
  <si>
    <t>BIENES MUEBLES INFRAESTRUCTURA</t>
  </si>
  <si>
    <t>EQUIPOS PARA PROCESO DE INFORMACIÓN</t>
  </si>
  <si>
    <t>OTRAS INVERSIONES INFRAESTRUCTURAS</t>
  </si>
  <si>
    <t>GASTOS EN INVERSIONES GESTIONADAS PARA OTROS ENTES PÚBLICOS</t>
  </si>
  <si>
    <t xml:space="preserve">PLAN INSULAR DE DE COOPERACIÓN EN OBRAS </t>
  </si>
  <si>
    <t>OTRAS INFRAESTRUCTURAS</t>
  </si>
  <si>
    <t>INVERSIONES FDCAN GESTIONADAS PARA OTROS ENTES PÚBLICOS 2019</t>
  </si>
  <si>
    <t>INVERSIONES GESTIONADAS PARA OTROS ENTES PÚBLICOS 2019</t>
  </si>
  <si>
    <t>SOCIEDAD DE LA INFORMACIÓN</t>
  </si>
  <si>
    <t>MANTENIMIENTO DE LA APLICACIÓN MÓVIL (APP)</t>
  </si>
  <si>
    <t>MANTENIMIENTO DE LA RED DE TELECOMUNICACIONES</t>
  </si>
  <si>
    <t>MANTENIMIENTO DE LA RED DE LOS SENSORES</t>
  </si>
  <si>
    <t>MANTENIMIENTO DE LA RED DE RECARGA DE VEHÍCULOS ELECTRICOS</t>
  </si>
  <si>
    <t>TRIBUTOS ESTATALES</t>
  </si>
  <si>
    <t>PROYECTOS SIG</t>
  </si>
  <si>
    <t>PUBLICIDAD Y PROPAGANDA FDCAN LINEA 1 2019</t>
  </si>
  <si>
    <t>ADECUACIÓN DEL CPD Y EL CENTRO COORDINADOR</t>
  </si>
  <si>
    <t>REDACCIÓN PLIEGOS PROYECTO LA PALMA SMART ISLAND FDCAN LINEA 1 2019</t>
  </si>
  <si>
    <t xml:space="preserve">SUBV. EOI PROGRAMA FORMATIVO JUVENIL </t>
  </si>
  <si>
    <t>SUBV. EOI PROGRAMA FORMATIVO TRANSFORMACIÓN DIGITAL</t>
  </si>
  <si>
    <t>APORTACIÓN SODEPAL PROGRAMA DIVULGACIÓN ASTROFISICA</t>
  </si>
  <si>
    <t>SUBVENCIÓN AMPAS PARTICIPACIÓN EN LA FIRST LEGO</t>
  </si>
  <si>
    <t>APORTACIÓN PROGRAMA EDUCATIVO SOLARLAB</t>
  </si>
  <si>
    <t>PREMIO OPEN DATA LA PALMA</t>
  </si>
  <si>
    <t xml:space="preserve">SUBV. ISAAC NEWTON GROUP ENCUENTRO INTERNACIONAL </t>
  </si>
  <si>
    <t>VEHÍCULO ELECTRICO</t>
  </si>
  <si>
    <t>OBRAS E INVERSIONES GIS</t>
  </si>
  <si>
    <t>EQUIPAMIENTO E INVERSIÓN OFICINAS</t>
  </si>
  <si>
    <t>RED DE SENSORES</t>
  </si>
  <si>
    <t xml:space="preserve">INVERSIONES FDCAN 2019 </t>
  </si>
  <si>
    <t>INVERSION NUEVOS PUNTOS DE RECARGA</t>
  </si>
  <si>
    <t>DESPLIEGUE Y DOTACIÓN DE LA RED TRONCAL ESTE-OESTE DE FIBRA OPTICA</t>
  </si>
  <si>
    <t>DESARROLLO APLICACIONES WEB</t>
  </si>
  <si>
    <t>GASTOS APLICACIONES INFORMÁTICAS</t>
  </si>
  <si>
    <t>ORGANOS DE GOBIERNO</t>
  </si>
  <si>
    <t>RETRIBUCIONES BÁSICAS ÓRGANOS DE GOBIERNO</t>
  </si>
  <si>
    <t>OTRAS REMUNERACIONES ASITENC. PLENOS Y COMISIONES</t>
  </si>
  <si>
    <t>RETRIBUCIONES BÁSICAS PERSONAL EVENTUAL</t>
  </si>
  <si>
    <t>RETRIBUCIONES COMPLEMENTARIAS PERSONAL EVENTUAL</t>
  </si>
  <si>
    <t>MATERIAL INFORMÁTICO ORDINARIO NO INVENTARIABLE</t>
  </si>
  <si>
    <t>MEDALLAS Y PINS NUEVA CORPORACIÓN</t>
  </si>
  <si>
    <t>ATENCIONES PROTOCOLARIAS Y REPRESENTATIVAS</t>
  </si>
  <si>
    <t>OTRAS ATENCIONES DE PRESIDENCIA</t>
  </si>
  <si>
    <t>ACTOS INSTITUCIONALES Y AYUDAS ACTOS MUNICIPALES</t>
  </si>
  <si>
    <t>ESCUDOS CABILDO INSULAR</t>
  </si>
  <si>
    <t>GASTOS DIVERSOS DE REPRESENTACIÓN DIFERENTES ÁREA</t>
  </si>
  <si>
    <t>DIETAS DE LOS MIEMBROS DE LOS ÓRGANOS DE GOBIERNO</t>
  </si>
  <si>
    <t>LOCOMOCIÓN DE LOS MIEMBROS DE LOS ÓRGANOS DE GOBI</t>
  </si>
  <si>
    <t>OTRAS INDEMNIZACIONES TELEFONÍA</t>
  </si>
  <si>
    <t>ASIGNACIONES A GRUPOS POLÍTICOS</t>
  </si>
  <si>
    <t>OFRENDA A SAN MIGUEL. ÓRGANOS DE GOBIERNO</t>
  </si>
  <si>
    <t>OFRENDA REAL SANTUARIO NTRA. SRA. DE LAS NIEVES. ORGANOS DE GOBIERNO</t>
  </si>
  <si>
    <t>ADMINISTRACIÓN GENERAL</t>
  </si>
  <si>
    <t>SUELDOS GRUPO A1 SECRETARÍA, VICESECRT Y REGIMEN JURÍDICO</t>
  </si>
  <si>
    <t xml:space="preserve">SUELDOS GRUPO C2 </t>
  </si>
  <si>
    <t xml:space="preserve">SUELDOS GRUPO E </t>
  </si>
  <si>
    <t xml:space="preserve">COMPLEMENTO DE DESTINO </t>
  </si>
  <si>
    <t xml:space="preserve">OTROS COMPLEMENTOS </t>
  </si>
  <si>
    <t xml:space="preserve">RETRIBUCIONES BÁSICAS PERSONAL LABORAL FIJO </t>
  </si>
  <si>
    <t xml:space="preserve">OTRAS REMUNERACIONES SECRETARÍA, VICESECRT Y REGÍMEN JURÍDICO </t>
  </si>
  <si>
    <t>RETRIBUCIONES EJECUCION SENTENCIAS</t>
  </si>
  <si>
    <t>SEGURIDAD SOCIAL SECRETARÍA, VICESECRT Y REGIMEN JURÍDICO</t>
  </si>
  <si>
    <t>ARRENDAMIENTO DE MAQUINARIA, INSTALACIONES Y UTILLAJE</t>
  </si>
  <si>
    <t>ARRENDAMIENTO VEHICULO PRESIDENCIA</t>
  </si>
  <si>
    <t>MATERIAL DE OFICINA ADMON. GENERAL, SECRET. Y VICESECRT.</t>
  </si>
  <si>
    <t>MATERIAL FOTOCOPIADORAS Y OTROS</t>
  </si>
  <si>
    <t>CUOTA ANUAL ARANZADI BASE DE DATOS</t>
  </si>
  <si>
    <t>GESTOR EXPEDIENTES JUDICIALES</t>
  </si>
  <si>
    <t>ADQUISICIÓN/ACTUALIZACIÓN DE APLICACIÓN DE PATRIMONIO PARA PROCESAMIENTO DE INFORMACIÓN</t>
  </si>
  <si>
    <t>ADQUISICIÓN DE APLICACIÓN DE ARCHIVO Y EQUIPOS PARA PROCESAMIENTO DE INFORMACIÓN</t>
  </si>
  <si>
    <t>POSTALES</t>
  </si>
  <si>
    <t>TRANSPORTE Y MENSAJERÍAS</t>
  </si>
  <si>
    <t xml:space="preserve">PUBLICIDAD Y PROPAGANDA </t>
  </si>
  <si>
    <t>JURÍDICOS, CONTENCIOSOS</t>
  </si>
  <si>
    <t>GASTOS DIVERSOS DEPART. INVENT. Y ARCHIVO</t>
  </si>
  <si>
    <t>GASTOS DIVERSOS VICE-SECRET. GRAL. Y ASESORÍA JDCA.</t>
  </si>
  <si>
    <t>OTROS GASTOS JURÍDICOS</t>
  </si>
  <si>
    <t>ACTUACIONES ACTUALIZACIÓN PROPIEDADES Y FICHA INVENTARIO</t>
  </si>
  <si>
    <t>DIETAS DEL PERSONAL NO DIRECTIVO</t>
  </si>
  <si>
    <t>LOCOMOCIÓN DEL PERSONAL NO DIRECTIVO</t>
  </si>
  <si>
    <t>AYUDA ASOC. CANARIA AMIGOS PUEBLOS SAHARAUIS DESPLAZ NIÑOS</t>
  </si>
  <si>
    <t>ADQUISICIÓN  EQUIPOS INFORMÁTICOS, IMAGEN E IMPRESIÓN PATRIMONIO</t>
  </si>
  <si>
    <t xml:space="preserve"> ANTICIPOS PAGAS AL PERSONAL</t>
  </si>
  <si>
    <t>PRÉSTAMOS DE HASTA 3.942,87 EUROS</t>
  </si>
  <si>
    <t>AYUDAS REINTEGRABLES EXCEPCIONALES</t>
  </si>
  <si>
    <t>PRESIDENCIA</t>
  </si>
  <si>
    <t>CUOTA EDIFICIOS COMUNIDADES</t>
  </si>
  <si>
    <t>VESTUARIO PERSONAL CONDUCTORES</t>
  </si>
  <si>
    <t>COMUNICACIONES TELEFONICAS EDIFICIOS</t>
  </si>
  <si>
    <t>PRIMAS DE SEGURO</t>
  </si>
  <si>
    <t>CONVENIO COLEGIO ABOGADOS ASISTENCIA JUSTICIA GRATUITA</t>
  </si>
  <si>
    <t>SEGURIDAD</t>
  </si>
  <si>
    <t>PREMIO INTERNACIONAL VALORES DEMÓCRATICOS</t>
  </si>
  <si>
    <t>APORTACIÓN FUNDACIÓN CANARIA RESERVA MUNDIAL BIOSFERA PARA CELEBRACIÓN CONFERENCIA INTERNACIONAL</t>
  </si>
  <si>
    <t>ADQUISICION DE MOBILIARIO Y ENSERES</t>
  </si>
  <si>
    <t>ADQUISICIÓN SOLAR PARA NUEVOS EDIFICIOS JUZGADOS S/C DE LA PALMA</t>
  </si>
  <si>
    <t>COORDINACIÓN Y ORGANIZACIÓN INSTITUCIONAL DE LA EELL</t>
  </si>
  <si>
    <t>MATERIAL OFICINA ORGANIZACIÓN</t>
  </si>
  <si>
    <t>OTROS GASTOS DIVEROS</t>
  </si>
  <si>
    <t>GABINETE DE PRENSA - SERVICIOS NOTICIAS</t>
  </si>
  <si>
    <t xml:space="preserve">MOBILIARIO </t>
  </si>
  <si>
    <t>PARTICIPACIÓN CIUDADANA</t>
  </si>
  <si>
    <t>FORMACIÓN PARTICIPACIÓN CIUDADANA</t>
  </si>
  <si>
    <t>GASTOS DIVERSOS PROYECTO INSULAR</t>
  </si>
  <si>
    <t>PROYECTO "LO ESPECIAL ES DIVINO"</t>
  </si>
  <si>
    <t>TALLERES PARTICIPATIVOS</t>
  </si>
  <si>
    <t>TRABAJOS TÉCNICOS PREMIOS PROYECTO INSULAR</t>
  </si>
  <si>
    <t>PREMIOS PARTICIPACIÓN CIUDADANA</t>
  </si>
  <si>
    <t>CONSEJO SOCIAL DE LA ISLA DE LA PALMA GASTOS FUNCIONAMIENTO</t>
  </si>
  <si>
    <t>MOVIMIENTO ASOCIATIVO ACTUACIONES 2019</t>
  </si>
  <si>
    <t>SUBVENCIÓN ASOC. CULTURAL HISTÓRICA DÍA DEL CORSARIO GASTOS CORRIENTES DÍA DEL CORSARIO</t>
  </si>
  <si>
    <t>PREMIOS PROYECTO INSULAR</t>
  </si>
  <si>
    <t>SUBVENCIONES MOVIMIENTO ASOCIATIVO PARA GASTOS DE INVERSIÓN</t>
  </si>
  <si>
    <t>ATENCIÓN A LOS CIUDADANOS</t>
  </si>
  <si>
    <t>MATERIAL DE OFICINA INFORMACIÓN AL CIUDADANO</t>
  </si>
  <si>
    <t>SOFTWARE PARA INTERCONEXIÓN DE REGISTRO</t>
  </si>
  <si>
    <t>SERVICIO INFORMACIÓN TELEFÓNICA (SERVICIO 010)</t>
  </si>
  <si>
    <t>MANTENIMIENTO GESTOR DE TURNOS OFICINA OAC</t>
  </si>
  <si>
    <t>GASTOS MANTENIMIENTO HERRAMIENTAS TRANSPARENCIA Y PARTICIPACIÓN CIUDADANA</t>
  </si>
  <si>
    <t>COMUNICACIONES INTERNAS</t>
  </si>
  <si>
    <t>MANTENIMIENTO DE HARDWARE Y SOFTWARE</t>
  </si>
  <si>
    <t xml:space="preserve">MATERIAL INFORMÁTICO NO INVENTARIABLE </t>
  </si>
  <si>
    <t xml:space="preserve">PLAN DE MODERNIZACIÓN ADMINISTRATIVA FASE III </t>
  </si>
  <si>
    <t>ADQUISICIÓN DE HARDWARE, SOFTWARE Y EQUIPOS DE COMUNICACIÓN</t>
  </si>
  <si>
    <t>PLAN DE MODERNIZACIÓN ADMINISTRATIVA FASE II Y OTROS PROYECTOS NNTT</t>
  </si>
  <si>
    <t>MATERIAL COMUNICACIONES INFORMÁTICAS</t>
  </si>
  <si>
    <t>RECURSOS HUMANOS</t>
  </si>
  <si>
    <t xml:space="preserve"> OTROS COMPLEMENTOS</t>
  </si>
  <si>
    <t xml:space="preserve"> OTRAS REMUNERACIONES PERSONAL LABORLA FIJO</t>
  </si>
  <si>
    <t>FORMACIÓN PERSONAL</t>
  </si>
  <si>
    <t>MATERIAL DE OFICINA RRHH</t>
  </si>
  <si>
    <t>PROGRAMAS Y SERVICIOS INFORMÁTICOS</t>
  </si>
  <si>
    <t>TRANSPORTES Y MENSAJERIA</t>
  </si>
  <si>
    <t>PREVENCIÓN RIESGOS LABORALES Y OTRAS</t>
  </si>
  <si>
    <t>MOBILIARIO</t>
  </si>
  <si>
    <t>ADQUISICIÓN DE EQUIPOS DE PROCESO DE INFORMACIÓN</t>
  </si>
  <si>
    <t>ADQUISICIÓN DE MATERIAL UNIDAD DE PREVENCIÓN RIESGO LABORALES</t>
  </si>
  <si>
    <t>CONTRATACIÓN</t>
  </si>
  <si>
    <t>PRENSA, LIBROS, REVISTAS Y OTRAS PUBLICACIONES</t>
  </si>
  <si>
    <t>CONVENIO TRIBUNAL ADMINISTRATIVO CONTRATOS PÚBLICOS</t>
  </si>
  <si>
    <t>ADQUISICIÓN MOBILIARIO</t>
  </si>
  <si>
    <t>IMPREVISTOS Y FUNCIONES NO CLASIFICADAS</t>
  </si>
  <si>
    <t>FONDO DE CONTIGENCIA E IMPREVISTOS</t>
  </si>
  <si>
    <t>POLÍTICA ECONÓMICA Y FISCAL</t>
  </si>
  <si>
    <t>MATERIAL DE OFICINA SERVICIOS ECONÓMICOS</t>
  </si>
  <si>
    <t>CUOTA ANUAL BASE DE DATOS</t>
  </si>
  <si>
    <t>PUBLICIDAD Y PROPAGANDA SERVICIOS ECONÓMICOS</t>
  </si>
  <si>
    <t>PUBLICACIONES EN DIARIO OFICIALES</t>
  </si>
  <si>
    <t>INVERSIONES SERVICIOS ECONÓMICOS</t>
  </si>
  <si>
    <t>GESTIÓN DEL PATRIMONIO</t>
  </si>
  <si>
    <t xml:space="preserve">TRIENIOS </t>
  </si>
  <si>
    <t xml:space="preserve"> OTRAS REMUNERACIONES PERSONAL LABORAL FIJO</t>
  </si>
  <si>
    <t>ARRENDAMIENTOS EDIFICIOS Y OTRAS CONSTRUCCIONES</t>
  </si>
  <si>
    <t>MANTENIMIENTO Y REPARACIÓN EDIFICIOS</t>
  </si>
  <si>
    <t>CONSERVACIÓN EDIFICIOS INSULARES PINTURA</t>
  </si>
  <si>
    <t>MANTENIMIENTO ASCENSORES EDIFICIOS</t>
  </si>
  <si>
    <t>MANTENIMIENTO EQUIPOS AIRES ACONDICIONADOS</t>
  </si>
  <si>
    <t>MANTENIMIENTO ESTACIONES TRANSFORMADORAS</t>
  </si>
  <si>
    <t>MANTENIMIENTO Y REPARACIÓN DE VEHÍCULOS (ITV)</t>
  </si>
  <si>
    <t>SUMINISTRO LUZ EDIFICIOS</t>
  </si>
  <si>
    <t>SUMINISTRO AGUA EDIFICIOS</t>
  </si>
  <si>
    <t>VESTUARIO PERSONAL EDIFICIOS</t>
  </si>
  <si>
    <t>TRIBUTOS ENTIDADES LOCALES</t>
  </si>
  <si>
    <t>SERVICIO LIMPIEZA EDIFICIOS</t>
  </si>
  <si>
    <t>ESTUDIO Y LEGALIZACIÓN EDIFICIOS</t>
  </si>
  <si>
    <t>REDACCIÓN PLANES DE AUTOPROTECCIÓN</t>
  </si>
  <si>
    <t>MAQUINARIA, INSTALACIONES TÉCNICAS Y UTILLAJES</t>
  </si>
  <si>
    <t>SEÑALIZACIÓN Y OTRAS ACTUACIONES SEGURIDAD EDIFICIOS</t>
  </si>
  <si>
    <t>INSTALACIONES ALARMAS DIFERENTES EDIFICIOS Y ALMACENES</t>
  </si>
  <si>
    <t>GESTIÓN DE LA DEUDA Y TESORERÍA</t>
  </si>
  <si>
    <t>93422706</t>
  </si>
  <si>
    <t>OFICINA AUX. RECAUDACIÓN</t>
  </si>
  <si>
    <t>ESTUDIO GESTIÓN RECAUDACIÓN</t>
  </si>
  <si>
    <t>INTERESES SERVICIOS ECONÓMICOS</t>
  </si>
  <si>
    <t>TRANSFERENCIAS OTRAS EELL</t>
  </si>
  <si>
    <t>CUOTAS FEMP</t>
  </si>
  <si>
    <t>CUOTAS FECAI</t>
  </si>
  <si>
    <t>CONSORCIO INSULAR DE SERVICIOS</t>
  </si>
  <si>
    <t>CONSORCIO INSULAR DE SERVICIOS DEUDA</t>
  </si>
  <si>
    <t>APORTACIONES FUNDACIÓN CANARIA RESERVA DE LA BIOSFERA</t>
  </si>
  <si>
    <t>TOTAL PRESUPUESTO 2019</t>
  </si>
  <si>
    <t>I N G R E S O S</t>
  </si>
  <si>
    <t>DESCRIPCION</t>
  </si>
  <si>
    <t>CAPITULO I.- IMPUESTOS DIRECTOS</t>
  </si>
  <si>
    <t>CAPITULO II.- IMPUESTOS INDIRECTOS</t>
  </si>
  <si>
    <t>CAPITULO III.- TASAS, PRECIOS PÚBLICOS Y OTROS INGRESOS</t>
  </si>
  <si>
    <t>CAPITULO IV.- TRANSFERENCIAS CORRIENTES</t>
  </si>
  <si>
    <t>CAPITULO V.- INGRESOS PATRIMONIALES</t>
  </si>
  <si>
    <t>CAPITULO VII.- TRANSFERENCIAS DE CAPITAL</t>
  </si>
  <si>
    <t>CAPITULO VIII.- ACTIVOS FINANCIEROS</t>
  </si>
  <si>
    <t>CAPITULO IX.-  PASIVOS FINANCIEROS</t>
  </si>
  <si>
    <t>GASTOS</t>
  </si>
  <si>
    <t>CONCEPTO</t>
  </si>
  <si>
    <t xml:space="preserve">DESCRIPCIÓN </t>
  </si>
  <si>
    <t>CESIÓN IRPF</t>
  </si>
  <si>
    <t>RECARGO IMPUESTO ACTIVIDADES ECONÓMICAS</t>
  </si>
  <si>
    <t>TOTAL CAPÍTULO I</t>
  </si>
  <si>
    <t>IMPUESTOS SOBRE EL ALCOHOL Y BEBIDAS DERIVADAS</t>
  </si>
  <si>
    <t>IMPUESTO SOBRE LA CERVEZA</t>
  </si>
  <si>
    <t>IMPUESTO MATRICULACIÓN. PARTICIPACIÓN ORDINARIA</t>
  </si>
  <si>
    <t>IMPUESTO MATRICULACIÓN. FONDO DE INVERSIONES</t>
  </si>
  <si>
    <t>IMPUESTOS SOBRE PRODUCTOS INTERMEDIOS</t>
  </si>
  <si>
    <t>PARTICIPACIÓN EXACCION FISCAL SOBRE LA GASOLINA</t>
  </si>
  <si>
    <t>AIEM: PARTICIPACIÓN ORDINARIA</t>
  </si>
  <si>
    <t>AIEM: FONDO DE INVERSIONES</t>
  </si>
  <si>
    <t>IGIC: PARTICIPACIÓN ORDINARIA</t>
  </si>
  <si>
    <t>IGIC: FONDO DE INVERSIONES</t>
  </si>
  <si>
    <t>COMPENSACIÓN CCLL MODIF NORMATIVAS RECURSOS REF</t>
  </si>
  <si>
    <t>TOTAL CAPÍTULO II</t>
  </si>
  <si>
    <t>SERVICIO DE TRATAMIENTO DE RESIDUOS. TASA POR TRATAMIENTO/DEPOSITO NEUMÁTICOS</t>
  </si>
  <si>
    <t>TASA AYUNTAMIENTOS AL PIRS</t>
  </si>
  <si>
    <t>TASA HOSPITALES Y CLINICAS</t>
  </si>
  <si>
    <t>SERVICIOS ASISTENCIALES. TASA PENSIONES RESIDENCIA PENSIONISTAS</t>
  </si>
  <si>
    <t>TASAS POR UTILIZACIÓN INSTALACIONES DEPORTIVAS</t>
  </si>
  <si>
    <t>TASAS POR EXPEDICIÓN DE LICENCIAS DE CAZA</t>
  </si>
  <si>
    <t>TASAS POR EXPEDICIÓN DE DOCUMENTOS DE TRANSPORTE</t>
  </si>
  <si>
    <t>TASA POR EXPEDICIÓN DE DOCUMENTOS DE TURISMO</t>
  </si>
  <si>
    <t>TASA POR LABORATORIO Y VIVERO</t>
  </si>
  <si>
    <t xml:space="preserve">TASA POR EL SERVICIO CENTRAL HORTOFRUTICOLA </t>
  </si>
  <si>
    <t>TASA POR SERVICIO DE MATADERO</t>
  </si>
  <si>
    <t>TASA POR CURSO</t>
  </si>
  <si>
    <t>COMPENSACIÓN TELEFONICA DE ESPAÑA, S.A.</t>
  </si>
  <si>
    <t>TASA POR LICENCIA DE OBRAS</t>
  </si>
  <si>
    <t>SERVICIOS ASISTENCIALES. PRECIO PÚBLICO APOYO Y RESPIRO FAMILIAR</t>
  </si>
  <si>
    <t>PRECIO PUBLICO RESID. SOCIO-SANIT TRIANA</t>
  </si>
  <si>
    <t>PRECIO PUBLICO RESID. SOCIO-SANIT VILLAFLORA</t>
  </si>
  <si>
    <t>MATRICULAS CURSO DEPORTES</t>
  </si>
  <si>
    <t>OTROS CAMPUS DEPORTES</t>
  </si>
  <si>
    <t>ENTRADA A MUSEOS</t>
  </si>
  <si>
    <t>PRECIO PÚBLICO PLANTAS VIVERO</t>
  </si>
  <si>
    <t>PRECIO PÚBLICO FERIA EXPOSALDO</t>
  </si>
  <si>
    <t>PRECIO PÚBLICO CURSOS DE FORMACIÓN</t>
  </si>
  <si>
    <t>PRECIOS PÚBLICOS ACTOS/ACTIVIDADES CULTURALES</t>
  </si>
  <si>
    <t>VENTA DE PUBLICACIONES</t>
  </si>
  <si>
    <t>VENTA MATERIAL CULTURA</t>
  </si>
  <si>
    <t>IMPORTE ANUNCIOS CARGO PARTICULARES</t>
  </si>
  <si>
    <t>MULTA INFRACCIÓN LEY DE CAZA DE CANARIAS</t>
  </si>
  <si>
    <t>MULTA INFRACCIÓN EN MATERIA DE CARRETERAS</t>
  </si>
  <si>
    <t>MULTA INFRACCIÓN EN MATERIA DE TRANSPORTE</t>
  </si>
  <si>
    <t>MULTA POR INFRACCIÓN MEDIO AMBIENTAL</t>
  </si>
  <si>
    <t>INDEMNIZACIÓN RESP PATRIMONIAL DAÑOS VIAS</t>
  </si>
  <si>
    <t xml:space="preserve">TOTAL CAPÍTULO III                      </t>
  </si>
  <si>
    <t>FONDO COMPLEMENTARIO DE FINANCIACIÓN</t>
  </si>
  <si>
    <t>COMPENSACIÓN IAE</t>
  </si>
  <si>
    <t>OTRAS TRANSFERENCIAS CORRIENTES DE LA AGE</t>
  </si>
  <si>
    <t>PARTICIPACIÓN EN INGRESOS DEL P.A.M.D.B.</t>
  </si>
  <si>
    <t>COSTE EFECTIVO TRANSF. DE COMPETENCIAS</t>
  </si>
  <si>
    <t>PROGRAMA SOCIOSANITARIO ATENCION A LA DISCAPACIDAD DE CANARIAS. LA PALMA</t>
  </si>
  <si>
    <t>FINANCIACIÓN DEPENDENCIA MAYORES Y DISCAPACIDAD</t>
  </si>
  <si>
    <t>REDUCCIÓN COMPENSACIÓN DEL IGTE</t>
  </si>
  <si>
    <t>REDUCCIÓN COMPENSACIÓN DEL IGTE: FONDO DE INVERSIONES</t>
  </si>
  <si>
    <t>CONVENIO CON LA ADMINIST. DEL ESTADO APOYO Y FOMENTO TRANSP. COLECTIVO LA PALMA</t>
  </si>
  <si>
    <t>APORT. CCAA FINANCIACIÓN POLITICA DE MOVILIDAD TRANSPORTE REGULAR VIAJEROS</t>
  </si>
  <si>
    <t>APORT. ICAP CURSOS FORMACIÓN</t>
  </si>
  <si>
    <t>RED CANARIA SERVICIOS/CENTROS ATENCIÓN SITUACIONES VIOLENCIA DE GÉNERO</t>
  </si>
  <si>
    <t>FONDO DE EMERGENCIA PARA MUJERES VICTIMAS DE LA VIOLENCIA DE GÉNERO</t>
  </si>
  <si>
    <t>APORTACIONES DE FAMILIAS E INSTITUCIONES HOSPITAL</t>
  </si>
  <si>
    <t>PROYECTO FI-MAC (MAC/ 2.3 d/181) Interreg MAC 201-2020</t>
  </si>
  <si>
    <t>TOTAL CAPÍTULO IV</t>
  </si>
  <si>
    <t>INTERESES DE DEPÓSITOS EN ENTIDADES DE CRÉDITO</t>
  </si>
  <si>
    <t>TOTAL CAPÍTULO V</t>
  </si>
  <si>
    <t>MEJORA CARRETERA ACCESO INSTITUTO ASTROFISICA</t>
  </si>
  <si>
    <t>APORT. CCAA FDCAN 2019 LINEA 2</t>
  </si>
  <si>
    <t>APORT. CCAA FDCAN 2019 LINEA 1</t>
  </si>
  <si>
    <t>APORT. CCAA INFRAESTRUCTURA SOCIOSANITARIAS LA PALMA</t>
  </si>
  <si>
    <t>PROGRAMA DESARROLLO RURAL FEADER 2014-2020 PLAN FORRAJERO</t>
  </si>
  <si>
    <t>TOTAL CAPITULO VII</t>
  </si>
  <si>
    <t>CAPITULO VIII.-ACTIVOS FINANCIEROS</t>
  </si>
  <si>
    <t>REINTEGRO ANTICIPOS PAGAS AL PERSONAL</t>
  </si>
  <si>
    <t>REEMBOLSO PRÉSTAMOS ADQUISICIÓN, CONSTRUCCIÓN, REFORMA O AMPLIACIÓN PRIMERA VIVIENDA</t>
  </si>
  <si>
    <t>AYUDAS REINTEGRABLES EXCEPCIONALES AL PERSONAL</t>
  </si>
  <si>
    <t>TOTAL CAPÍTULO VIII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</si>
</sst>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_€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7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3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164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1" fontId="6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164" fontId="6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shrinkToFit="1"/>
    </xf>
    <xf numFmtId="164" fontId="6" fillId="2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164" fontId="6" fillId="0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vertical="center" shrinkToFit="1"/>
    </xf>
    <xf numFmtId="164" fontId="6" fillId="4" borderId="1" xfId="0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vertical="center"/>
    </xf>
    <xf numFmtId="0" fontId="6" fillId="5" borderId="2" xfId="0" applyFont="1" applyFill="1" applyBorder="1" applyAlignment="1">
      <alignment vertical="center" shrinkToFit="1"/>
    </xf>
    <xf numFmtId="164" fontId="6" fillId="5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vertical="center" shrinkToFit="1"/>
    </xf>
    <xf numFmtId="164" fontId="6" fillId="6" borderId="1" xfId="0" applyNumberFormat="1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vertical="center"/>
    </xf>
    <xf numFmtId="0" fontId="6" fillId="8" borderId="2" xfId="0" applyFont="1" applyFill="1" applyBorder="1" applyAlignment="1">
      <alignment vertical="center" shrinkToFit="1"/>
    </xf>
    <xf numFmtId="164" fontId="6" fillId="7" borderId="1" xfId="0" applyNumberFormat="1" applyFont="1" applyFill="1" applyBorder="1" applyAlignment="1">
      <alignment vertical="center"/>
    </xf>
    <xf numFmtId="49" fontId="3" fillId="9" borderId="1" xfId="0" applyNumberFormat="1" applyFont="1" applyFill="1" applyBorder="1" applyAlignment="1">
      <alignment vertical="center"/>
    </xf>
    <xf numFmtId="0" fontId="6" fillId="9" borderId="2" xfId="0" applyFont="1" applyFill="1" applyBorder="1" applyAlignment="1">
      <alignment vertical="center" shrinkToFit="1"/>
    </xf>
    <xf numFmtId="164" fontId="6" fillId="9" borderId="1" xfId="0" applyNumberFormat="1" applyFont="1" applyFill="1" applyBorder="1" applyAlignment="1">
      <alignment vertical="center"/>
    </xf>
    <xf numFmtId="49" fontId="3" fillId="10" borderId="1" xfId="0" applyNumberFormat="1" applyFont="1" applyFill="1" applyBorder="1" applyAlignment="1">
      <alignment vertical="center"/>
    </xf>
    <xf numFmtId="0" fontId="7" fillId="10" borderId="2" xfId="0" applyFont="1" applyFill="1" applyBorder="1" applyAlignment="1">
      <alignment vertical="center" shrinkToFit="1"/>
    </xf>
    <xf numFmtId="164" fontId="7" fillId="10" borderId="1" xfId="0" applyNumberFormat="1" applyFont="1" applyFill="1" applyBorder="1" applyAlignment="1">
      <alignment vertical="center"/>
    </xf>
    <xf numFmtId="49" fontId="3" fillId="11" borderId="1" xfId="0" applyNumberFormat="1" applyFont="1" applyFill="1" applyBorder="1" applyAlignment="1">
      <alignment vertical="center"/>
    </xf>
    <xf numFmtId="0" fontId="6" fillId="11" borderId="2" xfId="0" applyFont="1" applyFill="1" applyBorder="1" applyAlignment="1">
      <alignment vertical="center" shrinkToFit="1"/>
    </xf>
    <xf numFmtId="164" fontId="6" fillId="11" borderId="1" xfId="0" applyNumberFormat="1" applyFont="1" applyFill="1" applyBorder="1" applyAlignment="1">
      <alignment vertical="center"/>
    </xf>
    <xf numFmtId="49" fontId="3" fillId="12" borderId="1" xfId="0" applyNumberFormat="1" applyFont="1" applyFill="1" applyBorder="1" applyAlignment="1">
      <alignment vertical="center"/>
    </xf>
    <xf numFmtId="0" fontId="7" fillId="12" borderId="2" xfId="0" applyFont="1" applyFill="1" applyBorder="1" applyAlignment="1">
      <alignment vertical="center" shrinkToFit="1"/>
    </xf>
    <xf numFmtId="164" fontId="6" fillId="12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49" fontId="3" fillId="3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49" fontId="9" fillId="13" borderId="1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shrinkToFit="1"/>
    </xf>
    <xf numFmtId="164" fontId="10" fillId="1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164" fontId="10" fillId="0" borderId="1" xfId="0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 shrinkToFit="1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 shrinkToFit="1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vertical="center" shrinkToFit="1"/>
    </xf>
    <xf numFmtId="164" fontId="6" fillId="0" borderId="1" xfId="0" applyNumberFormat="1" applyFont="1" applyBorder="1" applyAlignment="1">
      <alignment horizontal="right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shrinkToFit="1"/>
    </xf>
    <xf numFmtId="164" fontId="3" fillId="5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vertical="center" shrinkToFit="1"/>
    </xf>
    <xf numFmtId="164" fontId="6" fillId="5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shrinkToFit="1"/>
    </xf>
    <xf numFmtId="164" fontId="3" fillId="7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/>
    <xf numFmtId="0" fontId="6" fillId="7" borderId="1" xfId="0" applyFont="1" applyFill="1" applyBorder="1" applyAlignment="1">
      <alignment vertical="center" shrinkToFit="1"/>
    </xf>
    <xf numFmtId="164" fontId="6" fillId="7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164" fontId="3" fillId="0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/>
    <xf numFmtId="0" fontId="3" fillId="0" borderId="1" xfId="0" applyFont="1" applyFill="1" applyBorder="1"/>
    <xf numFmtId="0" fontId="6" fillId="0" borderId="1" xfId="0" applyFont="1" applyFill="1" applyBorder="1" applyAlignment="1">
      <alignment vertical="center" shrinkToFit="1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164" fontId="6" fillId="0" borderId="1" xfId="0" applyNumberFormat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164" fontId="6" fillId="2" borderId="1" xfId="0" applyNumberFormat="1" applyFont="1" applyFill="1" applyBorder="1"/>
    <xf numFmtId="43" fontId="3" fillId="0" borderId="1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49" fontId="3" fillId="15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shrinkToFit="1"/>
    </xf>
    <xf numFmtId="49" fontId="3" fillId="5" borderId="1" xfId="0" applyNumberFormat="1" applyFont="1" applyFill="1" applyBorder="1" applyAlignment="1">
      <alignment horizontal="left" vertical="center"/>
    </xf>
    <xf numFmtId="49" fontId="3" fillId="7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 shrinkToFi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shrinkToFit="1"/>
    </xf>
    <xf numFmtId="164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/>
    <xf numFmtId="0" fontId="6" fillId="4" borderId="1" xfId="0" applyFont="1" applyFill="1" applyBorder="1" applyAlignment="1">
      <alignment vertical="center" shrinkToFit="1"/>
    </xf>
    <xf numFmtId="164" fontId="6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shrinkToFit="1"/>
    </xf>
    <xf numFmtId="0" fontId="3" fillId="2" borderId="1" xfId="0" applyFont="1" applyFill="1" applyBorder="1" applyAlignment="1">
      <alignment horizontal="left" vertical="center" shrinkToFit="1"/>
    </xf>
    <xf numFmtId="164" fontId="6" fillId="5" borderId="1" xfId="0" applyNumberFormat="1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16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shrinkToFit="1"/>
    </xf>
    <xf numFmtId="164" fontId="3" fillId="16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 shrinkToFit="1"/>
    </xf>
    <xf numFmtId="164" fontId="3" fillId="17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shrinkToFit="1"/>
    </xf>
    <xf numFmtId="0" fontId="3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shrinkToFit="1"/>
    </xf>
    <xf numFmtId="164" fontId="3" fillId="9" borderId="1" xfId="0" applyNumberFormat="1" applyFont="1" applyFill="1" applyBorder="1" applyAlignment="1">
      <alignment horizontal="right" vertical="center"/>
    </xf>
    <xf numFmtId="49" fontId="3" fillId="9" borderId="1" xfId="0" applyNumberFormat="1" applyFont="1" applyFill="1" applyBorder="1" applyAlignment="1">
      <alignment horizontal="left" vertical="center"/>
    </xf>
    <xf numFmtId="0" fontId="6" fillId="9" borderId="1" xfId="0" applyFont="1" applyFill="1" applyBorder="1" applyAlignment="1">
      <alignment vertical="center" shrinkToFit="1"/>
    </xf>
    <xf numFmtId="164" fontId="6" fillId="9" borderId="1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4" fontId="3" fillId="7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 shrinkToFit="1"/>
    </xf>
    <xf numFmtId="164" fontId="3" fillId="2" borderId="1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164" fontId="3" fillId="0" borderId="1" xfId="0" applyNumberFormat="1" applyFont="1" applyFill="1" applyBorder="1"/>
    <xf numFmtId="0" fontId="3" fillId="8" borderId="1" xfId="0" applyFont="1" applyFill="1" applyBorder="1" applyAlignment="1">
      <alignment horizontal="left" vertical="center" shrinkToFit="1"/>
    </xf>
    <xf numFmtId="0" fontId="3" fillId="9" borderId="1" xfId="0" applyFont="1" applyFill="1" applyBorder="1" applyAlignment="1">
      <alignment horizontal="left" vertical="center" shrinkToFit="1"/>
    </xf>
    <xf numFmtId="0" fontId="3" fillId="9" borderId="1" xfId="0" applyFont="1" applyFill="1" applyBorder="1"/>
    <xf numFmtId="164" fontId="3" fillId="5" borderId="1" xfId="0" applyNumberFormat="1" applyFont="1" applyFill="1" applyBorder="1"/>
    <xf numFmtId="43" fontId="3" fillId="5" borderId="1" xfId="1" applyFont="1" applyFill="1" applyBorder="1" applyAlignment="1">
      <alignment horizontal="left" vertical="center" shrinkToFit="1"/>
    </xf>
    <xf numFmtId="164" fontId="3" fillId="5" borderId="1" xfId="0" applyNumberFormat="1" applyFont="1" applyFill="1" applyBorder="1" applyAlignment="1">
      <alignment horizontal="right" vertical="center" shrinkToFit="1"/>
    </xf>
    <xf numFmtId="0" fontId="3" fillId="18" borderId="3" xfId="0" applyFont="1" applyFill="1" applyBorder="1" applyAlignment="1">
      <alignment horizontal="left"/>
    </xf>
    <xf numFmtId="0" fontId="3" fillId="18" borderId="1" xfId="0" applyFont="1" applyFill="1" applyBorder="1" applyAlignment="1">
      <alignment vertical="center" shrinkToFit="1"/>
    </xf>
    <xf numFmtId="164" fontId="3" fillId="18" borderId="1" xfId="0" applyNumberFormat="1" applyFont="1" applyFill="1" applyBorder="1"/>
    <xf numFmtId="0" fontId="3" fillId="18" borderId="0" xfId="0" applyFont="1" applyFill="1" applyAlignment="1">
      <alignment horizontal="left"/>
    </xf>
    <xf numFmtId="0" fontId="3" fillId="18" borderId="4" xfId="0" applyFont="1" applyFill="1" applyBorder="1" applyAlignment="1">
      <alignment vertical="center" shrinkToFit="1"/>
    </xf>
    <xf numFmtId="164" fontId="3" fillId="18" borderId="2" xfId="0" applyNumberFormat="1" applyFont="1" applyFill="1" applyBorder="1"/>
    <xf numFmtId="0" fontId="3" fillId="18" borderId="1" xfId="0" applyFont="1" applyFill="1" applyBorder="1" applyAlignment="1">
      <alignment horizontal="left" vertical="center"/>
    </xf>
    <xf numFmtId="0" fontId="3" fillId="18" borderId="1" xfId="0" applyFont="1" applyFill="1" applyBorder="1" applyAlignment="1">
      <alignment horizontal="left" vertical="center" shrinkToFit="1"/>
    </xf>
    <xf numFmtId="164" fontId="3" fillId="18" borderId="1" xfId="0" applyNumberFormat="1" applyFont="1" applyFill="1" applyBorder="1" applyAlignment="1">
      <alignment horizontal="right" vertical="center"/>
    </xf>
    <xf numFmtId="0" fontId="11" fillId="0" borderId="1" xfId="0" applyFont="1" applyBorder="1"/>
    <xf numFmtId="0" fontId="10" fillId="0" borderId="1" xfId="0" applyFont="1" applyBorder="1" applyAlignment="1">
      <alignment horizontal="center"/>
    </xf>
    <xf numFmtId="164" fontId="11" fillId="0" borderId="1" xfId="0" applyNumberFormat="1" applyFont="1" applyBorder="1"/>
    <xf numFmtId="164" fontId="3" fillId="7" borderId="1" xfId="0" applyNumberFormat="1" applyFont="1" applyFill="1" applyBorder="1" applyAlignment="1">
      <alignment horizontal="right" vertical="center" shrinkToFit="1"/>
    </xf>
    <xf numFmtId="0" fontId="3" fillId="19" borderId="1" xfId="0" applyFont="1" applyFill="1" applyBorder="1" applyAlignment="1">
      <alignment horizontal="left" vertical="center"/>
    </xf>
    <xf numFmtId="0" fontId="3" fillId="19" borderId="1" xfId="0" applyFont="1" applyFill="1" applyBorder="1" applyAlignment="1">
      <alignment horizontal="left" vertical="center" shrinkToFit="1"/>
    </xf>
    <xf numFmtId="164" fontId="3" fillId="19" borderId="1" xfId="0" applyNumberFormat="1" applyFont="1" applyFill="1" applyBorder="1" applyAlignment="1">
      <alignment horizontal="right" vertical="center" shrinkToFit="1"/>
    </xf>
    <xf numFmtId="0" fontId="3" fillId="19" borderId="1" xfId="0" applyFont="1" applyFill="1" applyBorder="1"/>
    <xf numFmtId="0" fontId="6" fillId="19" borderId="1" xfId="0" applyFont="1" applyFill="1" applyBorder="1" applyAlignment="1">
      <alignment vertical="center" shrinkToFit="1"/>
    </xf>
    <xf numFmtId="164" fontId="6" fillId="19" borderId="1" xfId="0" applyNumberFormat="1" applyFont="1" applyFill="1" applyBorder="1" applyAlignment="1">
      <alignment horizontal="right"/>
    </xf>
    <xf numFmtId="0" fontId="0" fillId="20" borderId="1" xfId="0" applyFill="1" applyBorder="1"/>
    <xf numFmtId="43" fontId="0" fillId="20" borderId="1" xfId="1" applyFont="1" applyFill="1" applyBorder="1" applyProtection="1"/>
    <xf numFmtId="0" fontId="0" fillId="0" borderId="1" xfId="0" applyBorder="1"/>
    <xf numFmtId="164" fontId="3" fillId="0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0" fontId="0" fillId="21" borderId="1" xfId="0" applyFill="1" applyBorder="1"/>
    <xf numFmtId="0" fontId="0" fillId="21" borderId="1" xfId="0" applyFill="1" applyBorder="1" applyAlignment="1">
      <alignment wrapText="1"/>
    </xf>
    <xf numFmtId="0" fontId="0" fillId="21" borderId="1" xfId="0" applyFill="1" applyBorder="1" applyAlignment="1" applyProtection="1">
      <alignment wrapText="1"/>
    </xf>
    <xf numFmtId="0" fontId="0" fillId="21" borderId="1" xfId="0" applyFill="1" applyBorder="1" applyAlignment="1">
      <alignment shrinkToFit="1"/>
    </xf>
    <xf numFmtId="0" fontId="0" fillId="21" borderId="1" xfId="0" applyFill="1" applyBorder="1" applyAlignment="1" applyProtection="1">
      <alignment shrinkToFit="1"/>
    </xf>
    <xf numFmtId="164" fontId="6" fillId="5" borderId="1" xfId="1" applyNumberFormat="1" applyFont="1" applyFill="1" applyBorder="1" applyAlignment="1"/>
    <xf numFmtId="0" fontId="6" fillId="0" borderId="1" xfId="0" applyFont="1" applyFill="1" applyBorder="1" applyAlignment="1">
      <alignment horizontal="left" vertical="center" shrinkToFit="1"/>
    </xf>
    <xf numFmtId="164" fontId="6" fillId="0" borderId="1" xfId="0" applyNumberFormat="1" applyFont="1" applyFill="1" applyBorder="1" applyAlignment="1">
      <alignment horizontal="left" vertical="center"/>
    </xf>
    <xf numFmtId="0" fontId="3" fillId="22" borderId="1" xfId="0" applyFont="1" applyFill="1" applyBorder="1" applyAlignment="1">
      <alignment horizontal="left"/>
    </xf>
    <xf numFmtId="164" fontId="3" fillId="22" borderId="1" xfId="0" applyNumberFormat="1" applyFont="1" applyFill="1" applyBorder="1"/>
    <xf numFmtId="0" fontId="3" fillId="22" borderId="1" xfId="0" applyFont="1" applyFill="1" applyBorder="1"/>
    <xf numFmtId="0" fontId="6" fillId="22" borderId="1" xfId="0" applyFont="1" applyFill="1" applyBorder="1" applyAlignment="1">
      <alignment vertical="center" shrinkToFit="1"/>
    </xf>
    <xf numFmtId="164" fontId="6" fillId="22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center" shrinkToFit="1"/>
    </xf>
    <xf numFmtId="0" fontId="3" fillId="17" borderId="1" xfId="0" applyFont="1" applyFill="1" applyBorder="1"/>
    <xf numFmtId="0" fontId="6" fillId="17" borderId="1" xfId="0" applyFont="1" applyFill="1" applyBorder="1" applyAlignment="1">
      <alignment vertical="center" shrinkToFit="1"/>
    </xf>
    <xf numFmtId="164" fontId="6" fillId="17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vertical="center" shrinkToFit="1"/>
    </xf>
    <xf numFmtId="164" fontId="3" fillId="7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 shrinkToFit="1"/>
    </xf>
    <xf numFmtId="164" fontId="3" fillId="9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horizontal="left" vertical="center"/>
    </xf>
    <xf numFmtId="164" fontId="3" fillId="9" borderId="1" xfId="0" applyNumberFormat="1" applyFont="1" applyFill="1" applyBorder="1" applyAlignment="1">
      <alignment horizontal="left" vertical="center" shrinkToFit="1"/>
    </xf>
    <xf numFmtId="164" fontId="3" fillId="0" borderId="1" xfId="0" applyNumberFormat="1" applyFont="1" applyBorder="1" applyAlignment="1"/>
    <xf numFmtId="164" fontId="3" fillId="9" borderId="1" xfId="0" applyNumberFormat="1" applyFont="1" applyFill="1" applyBorder="1" applyAlignment="1">
      <alignment horizontal="right" vertical="center" shrinkToFit="1"/>
    </xf>
    <xf numFmtId="0" fontId="3" fillId="23" borderId="1" xfId="0" applyFont="1" applyFill="1" applyBorder="1" applyAlignment="1">
      <alignment horizontal="left" vertical="center"/>
    </xf>
    <xf numFmtId="0" fontId="3" fillId="23" borderId="1" xfId="0" applyFont="1" applyFill="1" applyBorder="1" applyAlignment="1">
      <alignment horizontal="left" vertical="center" shrinkToFit="1"/>
    </xf>
    <xf numFmtId="164" fontId="3" fillId="23" borderId="1" xfId="0" applyNumberFormat="1" applyFont="1" applyFill="1" applyBorder="1" applyAlignment="1">
      <alignment horizontal="right" vertical="center"/>
    </xf>
    <xf numFmtId="0" fontId="3" fillId="23" borderId="1" xfId="0" applyFont="1" applyFill="1" applyBorder="1"/>
    <xf numFmtId="0" fontId="6" fillId="23" borderId="1" xfId="0" applyFont="1" applyFill="1" applyBorder="1" applyAlignment="1">
      <alignment vertical="center" shrinkToFit="1"/>
    </xf>
    <xf numFmtId="164" fontId="6" fillId="23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center"/>
    </xf>
    <xf numFmtId="4" fontId="6" fillId="7" borderId="1" xfId="0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wrapText="1"/>
    </xf>
    <xf numFmtId="0" fontId="3" fillId="0" borderId="1" xfId="0" applyFont="1" applyFill="1" applyBorder="1" applyAlignment="1">
      <alignment shrinkToFit="1"/>
    </xf>
    <xf numFmtId="0" fontId="13" fillId="24" borderId="1" xfId="0" applyFont="1" applyFill="1" applyBorder="1" applyAlignment="1">
      <alignment horizontal="left" vertical="center"/>
    </xf>
    <xf numFmtId="0" fontId="7" fillId="24" borderId="1" xfId="0" applyFont="1" applyFill="1" applyBorder="1" applyAlignment="1">
      <alignment horizontal="left" vertical="center" shrinkToFit="1"/>
    </xf>
    <xf numFmtId="164" fontId="13" fillId="24" borderId="1" xfId="0" applyNumberFormat="1" applyFont="1" applyFill="1" applyBorder="1" applyAlignment="1">
      <alignment vertical="center"/>
    </xf>
    <xf numFmtId="0" fontId="13" fillId="24" borderId="1" xfId="0" applyFont="1" applyFill="1" applyBorder="1"/>
    <xf numFmtId="0" fontId="7" fillId="24" borderId="1" xfId="0" applyFont="1" applyFill="1" applyBorder="1" applyAlignment="1">
      <alignment vertical="center" shrinkToFit="1"/>
    </xf>
    <xf numFmtId="164" fontId="7" fillId="24" borderId="1" xfId="0" applyNumberFormat="1" applyFont="1" applyFill="1" applyBorder="1"/>
    <xf numFmtId="164" fontId="6" fillId="0" borderId="1" xfId="0" applyNumberFormat="1" applyFont="1" applyFill="1" applyBorder="1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164" fontId="14" fillId="0" borderId="1" xfId="0" applyNumberFormat="1" applyFont="1" applyFill="1" applyBorder="1" applyAlignment="1">
      <alignment horizontal="right" vertical="center"/>
    </xf>
    <xf numFmtId="164" fontId="6" fillId="18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shrinkToFit="1"/>
    </xf>
    <xf numFmtId="164" fontId="3" fillId="6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/>
    <xf numFmtId="0" fontId="6" fillId="6" borderId="1" xfId="0" applyFont="1" applyFill="1" applyBorder="1" applyAlignment="1">
      <alignment vertical="center" shrinkToFit="1"/>
    </xf>
    <xf numFmtId="164" fontId="6" fillId="6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 vertical="center" shrinkToFit="1"/>
    </xf>
    <xf numFmtId="164" fontId="3" fillId="0" borderId="1" xfId="0" applyNumberFormat="1" applyFont="1" applyBorder="1" applyAlignment="1">
      <alignment horizontal="right" vertical="center"/>
    </xf>
    <xf numFmtId="0" fontId="5" fillId="25" borderId="1" xfId="0" applyFont="1" applyFill="1" applyBorder="1" applyAlignment="1">
      <alignment horizontal="center" vertical="center" shrinkToFit="1"/>
    </xf>
    <xf numFmtId="164" fontId="15" fillId="25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" fontId="3" fillId="0" borderId="3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4" fontId="20" fillId="5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14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0" fillId="0" borderId="1" xfId="0" applyBorder="1" applyAlignment="1">
      <alignment shrinkToFit="1"/>
    </xf>
    <xf numFmtId="4" fontId="14" fillId="0" borderId="1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shrinkToFit="1"/>
    </xf>
    <xf numFmtId="4" fontId="14" fillId="0" borderId="1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20" fillId="0" borderId="11" xfId="0" applyNumberFormat="1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shrinkToFit="1"/>
    </xf>
    <xf numFmtId="4" fontId="3" fillId="0" borderId="12" xfId="0" applyNumberFormat="1" applyFont="1" applyFill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justify"/>
    </xf>
    <xf numFmtId="4" fontId="14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justify"/>
    </xf>
    <xf numFmtId="4" fontId="14" fillId="26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justify"/>
    </xf>
    <xf numFmtId="0" fontId="0" fillId="0" borderId="1" xfId="0" applyBorder="1" applyAlignment="1">
      <alignment horizontal="center" vertical="justify"/>
    </xf>
    <xf numFmtId="0" fontId="3" fillId="0" borderId="2" xfId="0" applyFont="1" applyBorder="1" applyAlignment="1">
      <alignment horizontal="justify" vertical="justify"/>
    </xf>
    <xf numFmtId="4" fontId="14" fillId="0" borderId="1" xfId="0" applyNumberFormat="1" applyFont="1" applyFill="1" applyBorder="1" applyAlignment="1">
      <alignment horizontal="justify" vertical="justify"/>
    </xf>
    <xf numFmtId="4" fontId="3" fillId="0" borderId="1" xfId="0" applyNumberFormat="1" applyFont="1" applyFill="1" applyBorder="1" applyAlignment="1">
      <alignment horizontal="right" vertical="justify"/>
    </xf>
    <xf numFmtId="4" fontId="14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4" fontId="20" fillId="26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20" fillId="2" borderId="11" xfId="0" applyNumberFormat="1" applyFont="1" applyFill="1" applyBorder="1" applyAlignment="1">
      <alignment horizontal="center" vertical="center"/>
    </xf>
    <xf numFmtId="4" fontId="14" fillId="0" borderId="1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14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2" xfId="0" applyFont="1" applyBorder="1" applyAlignment="1">
      <alignment shrinkToFit="1"/>
    </xf>
    <xf numFmtId="0" fontId="3" fillId="3" borderId="2" xfId="0" applyFont="1" applyFill="1" applyBorder="1" applyAlignment="1">
      <alignment shrinkToFit="1"/>
    </xf>
    <xf numFmtId="4" fontId="3" fillId="0" borderId="2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13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vertical="center" shrinkToFit="1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4" fontId="20" fillId="0" borderId="2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RRADOR%20PRESUPUESTO%2013%20ma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S/Presup%202009/05%20PROPUESTA%20PRESUPUESTO%2009%20PLENO%2015%20dic%20PLEN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STOS-ok"/>
      <sheetName val="ANEXO PLURIANUALIDADES-ok"/>
      <sheetName val="ANEXO INVERSIONES 2019"/>
      <sheetName val="INGRESOS"/>
      <sheetName val="CONSOLIDADO"/>
    </sheetNames>
    <sheetDataSet>
      <sheetData sheetId="0">
        <row r="15">
          <cell r="C15">
            <v>121985331.75000001</v>
          </cell>
        </row>
      </sheetData>
      <sheetData sheetId="1"/>
      <sheetData sheetId="2"/>
      <sheetData sheetId="3">
        <row r="13">
          <cell r="D13">
            <v>121985331.75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4"/>
      <sheetName val="CONSOLIDADO 2008"/>
      <sheetName val="CONSOLIDADO 2009"/>
      <sheetName val="INGRESOS 2009"/>
      <sheetName val="GASTOS 2009"/>
      <sheetName val="ANEXO INVERSIONES 2009"/>
      <sheetName val="ANEXO PLURIANUAL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C14">
            <v>97999127.890000001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65"/>
  <sheetViews>
    <sheetView workbookViewId="0">
      <selection activeCell="F34" sqref="F34"/>
    </sheetView>
  </sheetViews>
  <sheetFormatPr baseColWidth="10" defaultRowHeight="15"/>
  <cols>
    <col min="2" max="2" width="118" customWidth="1"/>
    <col min="3" max="3" width="15.85546875" bestFit="1" customWidth="1"/>
  </cols>
  <sheetData>
    <row r="1" spans="1:3" ht="15.75">
      <c r="A1" s="1" t="s">
        <v>0</v>
      </c>
      <c r="B1" s="1"/>
      <c r="C1" s="1"/>
    </row>
    <row r="2" spans="1:3" ht="15.75">
      <c r="A2" s="2"/>
      <c r="B2" s="3" t="s">
        <v>1</v>
      </c>
      <c r="C2" s="4"/>
    </row>
    <row r="3" spans="1:3">
      <c r="A3" s="2"/>
      <c r="B3" s="5"/>
      <c r="C3" s="6">
        <v>2019</v>
      </c>
    </row>
    <row r="4" spans="1:3">
      <c r="A4" s="7"/>
      <c r="B4" s="8" t="s">
        <v>2</v>
      </c>
      <c r="C4" s="9" t="s">
        <v>3</v>
      </c>
    </row>
    <row r="5" spans="1:3">
      <c r="A5" s="10"/>
      <c r="B5" s="11" t="s">
        <v>4</v>
      </c>
      <c r="C5" s="12">
        <f>+C82+C114+C179+C251+C262+C281+C417+C444+C492+C572+C823+C952+C1126+C1181+C1269+C1318+C1401+C1446+C1483+C1538+C1609+C1637+C1662+C1691+C1717</f>
        <v>41339211.950000003</v>
      </c>
    </row>
    <row r="6" spans="1:3">
      <c r="A6" s="13"/>
      <c r="B6" s="14" t="s">
        <v>5</v>
      </c>
      <c r="C6" s="15">
        <f>+C24+C50+C65+C94+C129+C158+C202+C217+C235+C287+C302+C357+C363+C421+C462+C510+C542+C582+C589+C604+C639+C692+C732+C757+C793+C836+C862+C923+C971+C996+C1027+C1046+C1055+C1085+C1091+C1138+C1218+C1276+C1282+C1325+C1361+C1417+C1461+C1509+C1548+C1564+C1577+C1596+C1615+C1645+C1668+C1700+C1736+C1749+C1758+C1101+C1156</f>
        <v>24571585.890000001</v>
      </c>
    </row>
    <row r="7" spans="1:3">
      <c r="A7" s="16"/>
      <c r="B7" s="17" t="s">
        <v>6</v>
      </c>
      <c r="C7" s="18">
        <f>+C220+C1328+C1752</f>
        <v>30800</v>
      </c>
    </row>
    <row r="8" spans="1:3">
      <c r="A8" s="19"/>
      <c r="B8" s="20" t="s">
        <v>7</v>
      </c>
      <c r="C8" s="21">
        <f>+C54+C133+C240+C344+C397+C468+C520+C531+C551+C593+C607+C672+C710+C739+C777+C799+C911+C1004+C1015+C1030+C1074+C1144+C1162+C1230+C1254+C1289+C1333+C1364+C1426+C1466+C1512+C1583+C1763+C1552+C265+C27+C1104+C1095</f>
        <v>20288867.530000001</v>
      </c>
    </row>
    <row r="9" spans="1:3">
      <c r="A9" s="22"/>
      <c r="B9" s="23" t="s">
        <v>8</v>
      </c>
      <c r="C9" s="24">
        <f>+C1677</f>
        <v>640000</v>
      </c>
    </row>
    <row r="10" spans="1:3">
      <c r="A10" s="25"/>
      <c r="B10" s="26" t="s">
        <v>9</v>
      </c>
      <c r="C10" s="27">
        <f>+C60+C141+C161+C229+C243+C290+C347+C403+C472+C515+C557+C616+C675+C747+C805+C914+C930+C975+C982+C1010+C1034+C1049+C1108+C1149+C1237+C1294+C1379+C1388+C1437+C1517+C1556+C1567+C1620+C1650+C1703+C1742+C1672+C1299+C98+C596+C35+C68+C423+C30</f>
        <v>23658610.93</v>
      </c>
    </row>
    <row r="11" spans="1:3">
      <c r="A11" s="28"/>
      <c r="B11" s="29" t="s">
        <v>10</v>
      </c>
      <c r="C11" s="30">
        <f>+C351+C475+C620+C752+C934+C985+C1077+C1112+C1165+C1336+C1382+C1587+C1243+C1018+C808</f>
        <v>11138255.449999999</v>
      </c>
    </row>
    <row r="12" spans="1:3">
      <c r="A12" s="31"/>
      <c r="B12" s="32" t="s">
        <v>11</v>
      </c>
      <c r="C12" s="33">
        <f>+C1522</f>
        <v>318000</v>
      </c>
    </row>
    <row r="13" spans="1:3">
      <c r="A13" s="34"/>
      <c r="B13" s="35" t="s">
        <v>12</v>
      </c>
      <c r="C13" s="36">
        <v>0</v>
      </c>
    </row>
    <row r="14" spans="1:3">
      <c r="A14" s="37"/>
      <c r="B14" s="38" t="s">
        <v>13</v>
      </c>
      <c r="C14" s="39">
        <f>+C544+C864+C1332+C1335</f>
        <v>8569661.25</v>
      </c>
    </row>
    <row r="15" spans="1:3">
      <c r="A15" s="40"/>
      <c r="B15" s="41" t="s">
        <v>14</v>
      </c>
      <c r="C15" s="15">
        <f>SUM(C5:C13)</f>
        <v>121985331.75000001</v>
      </c>
    </row>
    <row r="16" spans="1:3">
      <c r="A16" s="42"/>
      <c r="B16" s="43" t="s">
        <v>15</v>
      </c>
      <c r="C16" s="44">
        <f>[1]INGRESOS!D13</f>
        <v>121985331.75</v>
      </c>
    </row>
    <row r="17" spans="1:3">
      <c r="A17" s="45"/>
      <c r="B17" s="46" t="s">
        <v>16</v>
      </c>
      <c r="C17" s="44">
        <f>+C16-C15</f>
        <v>0</v>
      </c>
    </row>
    <row r="18" spans="1:3" ht="18">
      <c r="A18" s="47" t="s">
        <v>17</v>
      </c>
      <c r="B18" s="48" t="s">
        <v>18</v>
      </c>
      <c r="C18" s="49" t="s">
        <v>3</v>
      </c>
    </row>
    <row r="19" spans="1:3">
      <c r="A19" s="50"/>
      <c r="B19" s="51"/>
      <c r="C19" s="52"/>
    </row>
    <row r="20" spans="1:3">
      <c r="A20" s="13"/>
      <c r="B20" s="53" t="s">
        <v>19</v>
      </c>
      <c r="C20" s="54"/>
    </row>
    <row r="21" spans="1:3">
      <c r="A21" s="55"/>
      <c r="B21" s="56"/>
      <c r="C21" s="57"/>
    </row>
    <row r="22" spans="1:3">
      <c r="A22" s="55">
        <v>13022699</v>
      </c>
      <c r="B22" s="58" t="s">
        <v>20</v>
      </c>
      <c r="C22" s="57">
        <v>15000</v>
      </c>
    </row>
    <row r="23" spans="1:3">
      <c r="A23" s="55">
        <v>13022707</v>
      </c>
      <c r="B23" s="58" t="s">
        <v>21</v>
      </c>
      <c r="C23" s="57">
        <v>15000</v>
      </c>
    </row>
    <row r="24" spans="1:3">
      <c r="A24" s="55"/>
      <c r="B24" s="8" t="s">
        <v>22</v>
      </c>
      <c r="C24" s="59">
        <f>SUM(C22:C23)</f>
        <v>30000</v>
      </c>
    </row>
    <row r="25" spans="1:3">
      <c r="A25" s="55"/>
      <c r="B25" s="8"/>
      <c r="C25" s="59"/>
    </row>
    <row r="26" spans="1:3">
      <c r="A26" s="60">
        <v>13046100</v>
      </c>
      <c r="B26" s="61" t="s">
        <v>23</v>
      </c>
      <c r="C26" s="62">
        <v>50000</v>
      </c>
    </row>
    <row r="27" spans="1:3">
      <c r="A27" s="60"/>
      <c r="B27" s="63" t="s">
        <v>22</v>
      </c>
      <c r="C27" s="64">
        <f>SUM(C26)</f>
        <v>50000</v>
      </c>
    </row>
    <row r="28" spans="1:3">
      <c r="A28" s="55"/>
      <c r="B28" s="58"/>
      <c r="C28" s="57"/>
    </row>
    <row r="29" spans="1:3">
      <c r="A29" s="65">
        <v>13062700</v>
      </c>
      <c r="B29" s="66" t="s">
        <v>24</v>
      </c>
      <c r="C29" s="67">
        <f>378458.35-178000</f>
        <v>200458.34999999998</v>
      </c>
    </row>
    <row r="30" spans="1:3">
      <c r="A30" s="68"/>
      <c r="B30" s="69" t="s">
        <v>22</v>
      </c>
      <c r="C30" s="70">
        <f>SUM(C29)</f>
        <v>200458.34999999998</v>
      </c>
    </row>
    <row r="31" spans="1:3">
      <c r="A31" s="55"/>
      <c r="B31" s="58"/>
      <c r="C31" s="57"/>
    </row>
    <row r="32" spans="1:3">
      <c r="A32" s="13"/>
      <c r="B32" s="53" t="s">
        <v>25</v>
      </c>
      <c r="C32" s="54"/>
    </row>
    <row r="33" spans="1:3">
      <c r="A33" s="55"/>
      <c r="B33" s="58"/>
      <c r="C33" s="57"/>
    </row>
    <row r="34" spans="1:3">
      <c r="A34" s="65">
        <v>13265000</v>
      </c>
      <c r="B34" s="66" t="s">
        <v>26</v>
      </c>
      <c r="C34" s="67">
        <v>43000</v>
      </c>
    </row>
    <row r="35" spans="1:3">
      <c r="A35" s="68"/>
      <c r="B35" s="69" t="s">
        <v>22</v>
      </c>
      <c r="C35" s="70">
        <f>SUM(C34)</f>
        <v>43000</v>
      </c>
    </row>
    <row r="36" spans="1:3">
      <c r="A36" s="55"/>
      <c r="B36" s="58"/>
      <c r="C36" s="57"/>
    </row>
    <row r="37" spans="1:3">
      <c r="A37" s="13"/>
      <c r="B37" s="53" t="s">
        <v>27</v>
      </c>
      <c r="C37" s="54"/>
    </row>
    <row r="38" spans="1:3">
      <c r="A38" s="55"/>
      <c r="B38" s="56"/>
      <c r="C38" s="57"/>
    </row>
    <row r="39" spans="1:3">
      <c r="A39" s="55">
        <v>13520400</v>
      </c>
      <c r="B39" s="71" t="s">
        <v>28</v>
      </c>
      <c r="C39" s="57">
        <v>36000</v>
      </c>
    </row>
    <row r="40" spans="1:3">
      <c r="A40" s="55">
        <v>13522000</v>
      </c>
      <c r="B40" s="71" t="s">
        <v>29</v>
      </c>
      <c r="C40" s="57">
        <v>3000</v>
      </c>
    </row>
    <row r="41" spans="1:3">
      <c r="A41" s="55">
        <v>13522104</v>
      </c>
      <c r="B41" s="71" t="s">
        <v>30</v>
      </c>
      <c r="C41" s="57">
        <v>15000</v>
      </c>
    </row>
    <row r="42" spans="1:3">
      <c r="A42" s="55">
        <v>13522602</v>
      </c>
      <c r="B42" s="71" t="s">
        <v>31</v>
      </c>
      <c r="C42" s="57">
        <v>20000</v>
      </c>
    </row>
    <row r="43" spans="1:3">
      <c r="A43" s="55">
        <v>13522606</v>
      </c>
      <c r="B43" s="58" t="s">
        <v>32</v>
      </c>
      <c r="C43" s="57">
        <v>60000</v>
      </c>
    </row>
    <row r="44" spans="1:3">
      <c r="A44" s="55">
        <v>13522610</v>
      </c>
      <c r="B44" s="58" t="s">
        <v>33</v>
      </c>
      <c r="C44" s="57">
        <v>35200</v>
      </c>
    </row>
    <row r="45" spans="1:3">
      <c r="A45" s="55">
        <v>13522611</v>
      </c>
      <c r="B45" s="58" t="s">
        <v>34</v>
      </c>
      <c r="C45" s="57">
        <v>30000</v>
      </c>
    </row>
    <row r="46" spans="1:3">
      <c r="A46" s="55">
        <v>13522707</v>
      </c>
      <c r="B46" s="72" t="s">
        <v>35</v>
      </c>
      <c r="C46" s="73">
        <v>40000</v>
      </c>
    </row>
    <row r="47" spans="1:3">
      <c r="A47" s="55">
        <v>13522709</v>
      </c>
      <c r="B47" s="72" t="s">
        <v>36</v>
      </c>
      <c r="C47" s="73">
        <v>30000</v>
      </c>
    </row>
    <row r="48" spans="1:3">
      <c r="A48" s="55">
        <v>13523020</v>
      </c>
      <c r="B48" s="72" t="s">
        <v>37</v>
      </c>
      <c r="C48" s="73">
        <v>5000</v>
      </c>
    </row>
    <row r="49" spans="1:3">
      <c r="A49" s="55">
        <v>13523120</v>
      </c>
      <c r="B49" s="72" t="s">
        <v>38</v>
      </c>
      <c r="C49" s="73">
        <v>5000</v>
      </c>
    </row>
    <row r="50" spans="1:3">
      <c r="A50" s="55"/>
      <c r="B50" s="8" t="s">
        <v>22</v>
      </c>
      <c r="C50" s="59">
        <f>SUM(C39:C49)</f>
        <v>279200</v>
      </c>
    </row>
    <row r="51" spans="1:3">
      <c r="A51" s="55"/>
      <c r="B51" s="56"/>
      <c r="C51" s="57"/>
    </row>
    <row r="52" spans="1:3">
      <c r="A52" s="60">
        <v>13548900</v>
      </c>
      <c r="B52" s="61" t="s">
        <v>39</v>
      </c>
      <c r="C52" s="74">
        <v>40000</v>
      </c>
    </row>
    <row r="53" spans="1:3">
      <c r="A53" s="60">
        <v>13548901</v>
      </c>
      <c r="B53" s="61" t="s">
        <v>40</v>
      </c>
      <c r="C53" s="74">
        <v>50000</v>
      </c>
    </row>
    <row r="54" spans="1:3">
      <c r="A54" s="75"/>
      <c r="B54" s="63" t="s">
        <v>22</v>
      </c>
      <c r="C54" s="64">
        <f>SUM(C52:C53)</f>
        <v>90000</v>
      </c>
    </row>
    <row r="55" spans="1:3">
      <c r="A55" s="76"/>
      <c r="B55" s="77"/>
      <c r="C55" s="78"/>
    </row>
    <row r="56" spans="1:3">
      <c r="A56" s="65">
        <v>13562400</v>
      </c>
      <c r="B56" s="66" t="s">
        <v>41</v>
      </c>
      <c r="C56" s="67">
        <v>75000</v>
      </c>
    </row>
    <row r="57" spans="1:3">
      <c r="A57" s="65">
        <v>13562700</v>
      </c>
      <c r="B57" s="66" t="s">
        <v>42</v>
      </c>
      <c r="C57" s="67">
        <v>10000</v>
      </c>
    </row>
    <row r="58" spans="1:3">
      <c r="A58" s="65">
        <v>13562701</v>
      </c>
      <c r="B58" s="66" t="s">
        <v>43</v>
      </c>
      <c r="C58" s="67">
        <v>200000</v>
      </c>
    </row>
    <row r="59" spans="1:3">
      <c r="A59" s="65">
        <v>13562900</v>
      </c>
      <c r="B59" s="66" t="s">
        <v>44</v>
      </c>
      <c r="C59" s="67">
        <v>100000</v>
      </c>
    </row>
    <row r="60" spans="1:3">
      <c r="A60" s="68"/>
      <c r="B60" s="69" t="s">
        <v>22</v>
      </c>
      <c r="C60" s="70">
        <f>SUM(C56:C59)</f>
        <v>385000</v>
      </c>
    </row>
    <row r="61" spans="1:3">
      <c r="A61" s="76"/>
      <c r="B61" s="77"/>
      <c r="C61" s="78"/>
    </row>
    <row r="62" spans="1:3">
      <c r="A62" s="13"/>
      <c r="B62" s="53" t="s">
        <v>45</v>
      </c>
      <c r="C62" s="54"/>
    </row>
    <row r="63" spans="1:3">
      <c r="A63" s="79"/>
      <c r="B63" s="79"/>
      <c r="C63" s="80"/>
    </row>
    <row r="64" spans="1:3">
      <c r="A64" s="55">
        <v>13622709</v>
      </c>
      <c r="B64" s="72" t="s">
        <v>46</v>
      </c>
      <c r="C64" s="73">
        <v>600000</v>
      </c>
    </row>
    <row r="65" spans="1:3">
      <c r="A65" s="55"/>
      <c r="B65" s="8" t="s">
        <v>22</v>
      </c>
      <c r="C65" s="59">
        <f>SUM(C64:C64)</f>
        <v>600000</v>
      </c>
    </row>
    <row r="66" spans="1:3">
      <c r="A66" s="79"/>
      <c r="B66" s="8"/>
      <c r="C66" s="57"/>
    </row>
    <row r="67" spans="1:3">
      <c r="A67" s="65">
        <v>13662901</v>
      </c>
      <c r="B67" s="66" t="s">
        <v>47</v>
      </c>
      <c r="C67" s="67">
        <v>75000</v>
      </c>
    </row>
    <row r="68" spans="1:3">
      <c r="A68" s="68"/>
      <c r="B68" s="69" t="s">
        <v>22</v>
      </c>
      <c r="C68" s="70">
        <f>SUM(C67)</f>
        <v>75000</v>
      </c>
    </row>
    <row r="69" spans="1:3">
      <c r="A69" s="76"/>
      <c r="B69" s="77"/>
      <c r="C69" s="81"/>
    </row>
    <row r="70" spans="1:3">
      <c r="A70" s="13"/>
      <c r="B70" s="53" t="s">
        <v>48</v>
      </c>
      <c r="C70" s="54"/>
    </row>
    <row r="71" spans="1:3">
      <c r="A71" s="82"/>
      <c r="B71" s="8"/>
      <c r="C71" s="78"/>
    </row>
    <row r="72" spans="1:3">
      <c r="A72" s="83">
        <v>15112000</v>
      </c>
      <c r="B72" s="84" t="s">
        <v>49</v>
      </c>
      <c r="C72" s="85">
        <f>112040.14-23480.29</f>
        <v>88559.85</v>
      </c>
    </row>
    <row r="73" spans="1:3">
      <c r="A73" s="83">
        <v>15112001</v>
      </c>
      <c r="B73" s="84" t="s">
        <v>50</v>
      </c>
      <c r="C73" s="85">
        <v>27919.46</v>
      </c>
    </row>
    <row r="74" spans="1:3">
      <c r="A74" s="83">
        <v>15112003</v>
      </c>
      <c r="B74" s="84" t="s">
        <v>51</v>
      </c>
      <c r="C74" s="85">
        <v>10589.7</v>
      </c>
    </row>
    <row r="75" spans="1:3">
      <c r="A75" s="83">
        <v>15112004</v>
      </c>
      <c r="B75" s="84" t="s">
        <v>52</v>
      </c>
      <c r="C75" s="85">
        <f>8897.99-4351.09</f>
        <v>4546.8999999999996</v>
      </c>
    </row>
    <row r="76" spans="1:3">
      <c r="A76" s="83">
        <v>15112006</v>
      </c>
      <c r="B76" s="84" t="s">
        <v>53</v>
      </c>
      <c r="C76" s="85">
        <v>16387.46</v>
      </c>
    </row>
    <row r="77" spans="1:3">
      <c r="A77" s="83">
        <v>15112100</v>
      </c>
      <c r="B77" s="84" t="s">
        <v>54</v>
      </c>
      <c r="C77" s="85">
        <f>98572.66-6048.07-9001.86-2705.36</f>
        <v>80817.37</v>
      </c>
    </row>
    <row r="78" spans="1:3">
      <c r="A78" s="83">
        <v>15112101</v>
      </c>
      <c r="B78" s="84" t="s">
        <v>55</v>
      </c>
      <c r="C78" s="85">
        <f>127030.02-8940.05-11137.98-3044.93</f>
        <v>103907.06000000001</v>
      </c>
    </row>
    <row r="79" spans="1:3">
      <c r="A79" s="83">
        <v>15112103</v>
      </c>
      <c r="B79" s="84" t="s">
        <v>56</v>
      </c>
      <c r="C79" s="85">
        <f>86931.84-12157.11-1600.49</f>
        <v>73174.239999999991</v>
      </c>
    </row>
    <row r="80" spans="1:3">
      <c r="A80" s="83">
        <v>15115000</v>
      </c>
      <c r="B80" s="84" t="s">
        <v>57</v>
      </c>
      <c r="C80" s="85">
        <v>2060.08</v>
      </c>
    </row>
    <row r="81" spans="1:3">
      <c r="A81" s="83">
        <v>15116000</v>
      </c>
      <c r="B81" s="84" t="s">
        <v>58</v>
      </c>
      <c r="C81" s="85">
        <f>127912.95-280.92-93.64</f>
        <v>127538.39</v>
      </c>
    </row>
    <row r="82" spans="1:3">
      <c r="A82" s="84"/>
      <c r="B82" s="11" t="s">
        <v>22</v>
      </c>
      <c r="C82" s="86">
        <f>SUM(C72:C81)</f>
        <v>535500.51</v>
      </c>
    </row>
    <row r="83" spans="1:3">
      <c r="A83" s="79"/>
      <c r="B83" s="8"/>
      <c r="C83" s="80"/>
    </row>
    <row r="84" spans="1:3">
      <c r="A84" s="55">
        <v>15122000</v>
      </c>
      <c r="B84" s="72" t="s">
        <v>59</v>
      </c>
      <c r="C84" s="73">
        <v>1300</v>
      </c>
    </row>
    <row r="85" spans="1:3">
      <c r="A85" s="55">
        <v>15122001</v>
      </c>
      <c r="B85" s="72" t="s">
        <v>60</v>
      </c>
      <c r="C85" s="73">
        <v>400</v>
      </c>
    </row>
    <row r="86" spans="1:3">
      <c r="A86" s="55">
        <v>15122002</v>
      </c>
      <c r="B86" s="72" t="s">
        <v>61</v>
      </c>
      <c r="C86" s="73">
        <v>1800</v>
      </c>
    </row>
    <row r="87" spans="1:3">
      <c r="A87" s="55">
        <v>15122602</v>
      </c>
      <c r="B87" s="72" t="s">
        <v>62</v>
      </c>
      <c r="C87" s="73">
        <v>10000</v>
      </c>
    </row>
    <row r="88" spans="1:3">
      <c r="A88" s="55">
        <v>15122606</v>
      </c>
      <c r="B88" s="72" t="s">
        <v>63</v>
      </c>
      <c r="C88" s="73">
        <v>2000</v>
      </c>
    </row>
    <row r="89" spans="1:3">
      <c r="A89" s="55">
        <v>15122610</v>
      </c>
      <c r="B89" s="72" t="s">
        <v>64</v>
      </c>
      <c r="C89" s="87">
        <v>13500</v>
      </c>
    </row>
    <row r="90" spans="1:3">
      <c r="A90" s="55">
        <v>15122611</v>
      </c>
      <c r="B90" s="72" t="s">
        <v>65</v>
      </c>
      <c r="C90" s="73">
        <v>87038.22</v>
      </c>
    </row>
    <row r="91" spans="1:3">
      <c r="A91" s="55">
        <v>15122612</v>
      </c>
      <c r="B91" s="72" t="s">
        <v>66</v>
      </c>
      <c r="C91" s="73">
        <v>10000</v>
      </c>
    </row>
    <row r="92" spans="1:3">
      <c r="A92" s="55">
        <v>15122699</v>
      </c>
      <c r="B92" s="72" t="s">
        <v>67</v>
      </c>
      <c r="C92" s="73">
        <v>1500</v>
      </c>
    </row>
    <row r="93" spans="1:3">
      <c r="A93" s="55">
        <v>15122710</v>
      </c>
      <c r="B93" s="72" t="s">
        <v>68</v>
      </c>
      <c r="C93" s="73">
        <v>200000</v>
      </c>
    </row>
    <row r="94" spans="1:3">
      <c r="A94" s="82"/>
      <c r="B94" s="8" t="s">
        <v>22</v>
      </c>
      <c r="C94" s="81">
        <f>SUM(C84:C93)</f>
        <v>327538.21999999997</v>
      </c>
    </row>
    <row r="95" spans="1:3">
      <c r="A95" s="88"/>
      <c r="B95" s="77"/>
      <c r="C95" s="73"/>
    </row>
    <row r="96" spans="1:3">
      <c r="A96" s="65">
        <v>15162500</v>
      </c>
      <c r="B96" s="66" t="s">
        <v>69</v>
      </c>
      <c r="C96" s="67">
        <v>2000</v>
      </c>
    </row>
    <row r="97" spans="1:3">
      <c r="A97" s="65">
        <v>15165000</v>
      </c>
      <c r="B97" s="66" t="s">
        <v>70</v>
      </c>
      <c r="C97" s="67">
        <v>24438.74</v>
      </c>
    </row>
    <row r="98" spans="1:3">
      <c r="A98" s="68"/>
      <c r="B98" s="69" t="s">
        <v>22</v>
      </c>
      <c r="C98" s="70">
        <f>SUM(C96:C97)</f>
        <v>26438.74</v>
      </c>
    </row>
    <row r="99" spans="1:3">
      <c r="A99" s="88"/>
      <c r="B99" s="77"/>
      <c r="C99" s="73"/>
    </row>
    <row r="100" spans="1:3">
      <c r="A100" s="13"/>
      <c r="B100" s="53" t="s">
        <v>71</v>
      </c>
      <c r="C100" s="54"/>
    </row>
    <row r="101" spans="1:3">
      <c r="A101" s="79"/>
      <c r="B101" s="8"/>
      <c r="C101" s="78"/>
    </row>
    <row r="102" spans="1:3">
      <c r="A102" s="83">
        <v>16212000</v>
      </c>
      <c r="B102" s="84" t="s">
        <v>49</v>
      </c>
      <c r="C102" s="85">
        <v>45349.58</v>
      </c>
    </row>
    <row r="103" spans="1:3">
      <c r="A103" s="83">
        <v>16212001</v>
      </c>
      <c r="B103" s="84" t="s">
        <v>50</v>
      </c>
      <c r="C103" s="85">
        <v>27919.46</v>
      </c>
    </row>
    <row r="104" spans="1:3">
      <c r="A104" s="83">
        <v>16212003</v>
      </c>
      <c r="B104" s="84" t="s">
        <v>72</v>
      </c>
      <c r="C104" s="85">
        <v>10589.7</v>
      </c>
    </row>
    <row r="105" spans="1:3">
      <c r="A105" s="83">
        <v>16212006</v>
      </c>
      <c r="B105" s="84" t="s">
        <v>53</v>
      </c>
      <c r="C105" s="85">
        <v>13841.24</v>
      </c>
    </row>
    <row r="106" spans="1:3">
      <c r="A106" s="83">
        <v>16212100</v>
      </c>
      <c r="B106" s="84" t="s">
        <v>54</v>
      </c>
      <c r="C106" s="85">
        <v>59132.47</v>
      </c>
    </row>
    <row r="107" spans="1:3">
      <c r="A107" s="83">
        <v>16212101</v>
      </c>
      <c r="B107" s="84" t="s">
        <v>55</v>
      </c>
      <c r="C107" s="85">
        <v>78351.360000000001</v>
      </c>
    </row>
    <row r="108" spans="1:3">
      <c r="A108" s="83">
        <v>16212103</v>
      </c>
      <c r="B108" s="84" t="s">
        <v>56</v>
      </c>
      <c r="C108" s="85">
        <v>52560.86</v>
      </c>
    </row>
    <row r="109" spans="1:3">
      <c r="A109" s="83">
        <v>16213000</v>
      </c>
      <c r="B109" s="84" t="s">
        <v>73</v>
      </c>
      <c r="C109" s="85">
        <v>122281.77</v>
      </c>
    </row>
    <row r="110" spans="1:3">
      <c r="A110" s="83">
        <v>16213002</v>
      </c>
      <c r="B110" s="84" t="s">
        <v>74</v>
      </c>
      <c r="C110" s="85">
        <v>173328.7</v>
      </c>
    </row>
    <row r="111" spans="1:3">
      <c r="A111" s="83">
        <v>16213100</v>
      </c>
      <c r="B111" s="84" t="s">
        <v>75</v>
      </c>
      <c r="C111" s="85">
        <v>11034.19</v>
      </c>
    </row>
    <row r="112" spans="1:3">
      <c r="A112" s="83">
        <v>16215000</v>
      </c>
      <c r="B112" s="84" t="s">
        <v>57</v>
      </c>
      <c r="C112" s="85">
        <v>3371.04</v>
      </c>
    </row>
    <row r="113" spans="1:3">
      <c r="A113" s="83">
        <v>16216000</v>
      </c>
      <c r="B113" s="84" t="s">
        <v>58</v>
      </c>
      <c r="C113" s="85">
        <v>189162.5</v>
      </c>
    </row>
    <row r="114" spans="1:3">
      <c r="A114" s="84"/>
      <c r="B114" s="11" t="s">
        <v>22</v>
      </c>
      <c r="C114" s="86">
        <f>SUM(C102:C113)</f>
        <v>786922.87</v>
      </c>
    </row>
    <row r="115" spans="1:3">
      <c r="A115" s="79"/>
      <c r="B115" s="8"/>
      <c r="C115" s="80"/>
    </row>
    <row r="116" spans="1:3">
      <c r="A116" s="55">
        <v>16221300</v>
      </c>
      <c r="B116" s="72" t="s">
        <v>76</v>
      </c>
      <c r="C116" s="73">
        <v>2000</v>
      </c>
    </row>
    <row r="117" spans="1:3">
      <c r="A117" s="55">
        <v>16222103</v>
      </c>
      <c r="B117" s="72" t="s">
        <v>77</v>
      </c>
      <c r="C117" s="73">
        <v>2000</v>
      </c>
    </row>
    <row r="118" spans="1:3">
      <c r="A118" s="55">
        <v>16222104</v>
      </c>
      <c r="B118" s="72" t="s">
        <v>78</v>
      </c>
      <c r="C118" s="73">
        <v>2500</v>
      </c>
    </row>
    <row r="119" spans="1:3">
      <c r="A119" s="55">
        <v>16222300</v>
      </c>
      <c r="B119" s="72" t="s">
        <v>79</v>
      </c>
      <c r="C119" s="73">
        <v>500</v>
      </c>
    </row>
    <row r="120" spans="1:3">
      <c r="A120" s="55">
        <v>16222610</v>
      </c>
      <c r="B120" s="72" t="s">
        <v>80</v>
      </c>
      <c r="C120" s="73">
        <v>100000</v>
      </c>
    </row>
    <row r="121" spans="1:3">
      <c r="A121" s="55">
        <v>16222699</v>
      </c>
      <c r="B121" s="72" t="s">
        <v>81</v>
      </c>
      <c r="C121" s="73">
        <v>10000</v>
      </c>
    </row>
    <row r="122" spans="1:3">
      <c r="A122" s="55">
        <v>16222706</v>
      </c>
      <c r="B122" s="72" t="s">
        <v>82</v>
      </c>
      <c r="C122" s="73">
        <v>15000</v>
      </c>
    </row>
    <row r="123" spans="1:3">
      <c r="A123" s="55">
        <v>16222709</v>
      </c>
      <c r="B123" s="72" t="s">
        <v>83</v>
      </c>
      <c r="C123" s="73">
        <v>201060.61</v>
      </c>
    </row>
    <row r="124" spans="1:3">
      <c r="A124" s="55">
        <v>16222710</v>
      </c>
      <c r="B124" s="72" t="s">
        <v>84</v>
      </c>
      <c r="C124" s="73">
        <v>34000</v>
      </c>
    </row>
    <row r="125" spans="1:3">
      <c r="A125" s="55">
        <v>16222711</v>
      </c>
      <c r="B125" s="72" t="s">
        <v>85</v>
      </c>
      <c r="C125" s="73">
        <v>20000</v>
      </c>
    </row>
    <row r="126" spans="1:3">
      <c r="A126" s="55">
        <v>16222712</v>
      </c>
      <c r="B126" s="72" t="s">
        <v>86</v>
      </c>
      <c r="C126" s="73">
        <v>1900000</v>
      </c>
    </row>
    <row r="127" spans="1:3">
      <c r="A127" s="55">
        <v>16222713</v>
      </c>
      <c r="B127" s="72" t="s">
        <v>87</v>
      </c>
      <c r="C127" s="73">
        <v>100000</v>
      </c>
    </row>
    <row r="128" spans="1:3">
      <c r="A128" s="55">
        <v>16222714</v>
      </c>
      <c r="B128" s="72" t="s">
        <v>88</v>
      </c>
      <c r="C128" s="73">
        <v>30000</v>
      </c>
    </row>
    <row r="129" spans="1:3">
      <c r="A129" s="82"/>
      <c r="B129" s="8" t="s">
        <v>22</v>
      </c>
      <c r="C129" s="81">
        <f>SUM(C116:C128)</f>
        <v>2417060.61</v>
      </c>
    </row>
    <row r="130" spans="1:3">
      <c r="A130" s="89"/>
      <c r="B130" s="90"/>
      <c r="C130" s="73"/>
    </row>
    <row r="131" spans="1:3">
      <c r="A131" s="60">
        <v>16246200</v>
      </c>
      <c r="B131" s="61" t="s">
        <v>89</v>
      </c>
      <c r="C131" s="74">
        <f>550000-150000</f>
        <v>400000</v>
      </c>
    </row>
    <row r="132" spans="1:3">
      <c r="A132" s="60">
        <v>16248900</v>
      </c>
      <c r="B132" s="61" t="s">
        <v>90</v>
      </c>
      <c r="C132" s="74">
        <v>10000</v>
      </c>
    </row>
    <row r="133" spans="1:3">
      <c r="A133" s="91"/>
      <c r="B133" s="63" t="s">
        <v>22</v>
      </c>
      <c r="C133" s="64">
        <f>SUM(C131:C132)</f>
        <v>410000</v>
      </c>
    </row>
    <row r="134" spans="1:3">
      <c r="A134" s="89"/>
      <c r="B134" s="90"/>
      <c r="C134" s="73"/>
    </row>
    <row r="135" spans="1:3">
      <c r="A135" s="65">
        <v>16260000</v>
      </c>
      <c r="B135" s="66" t="s">
        <v>91</v>
      </c>
      <c r="C135" s="67">
        <v>50000</v>
      </c>
    </row>
    <row r="136" spans="1:3">
      <c r="A136" s="65">
        <v>16262700</v>
      </c>
      <c r="B136" s="66" t="s">
        <v>92</v>
      </c>
      <c r="C136" s="67">
        <v>20000</v>
      </c>
    </row>
    <row r="137" spans="1:3">
      <c r="A137" s="65">
        <v>16262701</v>
      </c>
      <c r="B137" s="66" t="s">
        <v>93</v>
      </c>
      <c r="C137" s="67">
        <f>300000-150000</f>
        <v>150000</v>
      </c>
    </row>
    <row r="138" spans="1:3">
      <c r="A138" s="65">
        <v>16262702</v>
      </c>
      <c r="B138" s="66" t="s">
        <v>94</v>
      </c>
      <c r="C138" s="67">
        <v>20000</v>
      </c>
    </row>
    <row r="139" spans="1:3">
      <c r="A139" s="65">
        <v>16262703</v>
      </c>
      <c r="B139" s="66" t="s">
        <v>95</v>
      </c>
      <c r="C139" s="67">
        <v>40000</v>
      </c>
    </row>
    <row r="140" spans="1:3">
      <c r="A140" s="65">
        <v>16262705</v>
      </c>
      <c r="B140" s="66" t="s">
        <v>96</v>
      </c>
      <c r="C140" s="67">
        <v>40000</v>
      </c>
    </row>
    <row r="141" spans="1:3">
      <c r="A141" s="92"/>
      <c r="B141" s="69" t="s">
        <v>22</v>
      </c>
      <c r="C141" s="70">
        <f>SUM(C135:C140)</f>
        <v>320000</v>
      </c>
    </row>
    <row r="142" spans="1:3">
      <c r="A142" s="79"/>
      <c r="B142" s="8"/>
      <c r="C142" s="78"/>
    </row>
    <row r="143" spans="1:3">
      <c r="A143" s="13"/>
      <c r="B143" s="53" t="s">
        <v>97</v>
      </c>
      <c r="C143" s="54"/>
    </row>
    <row r="144" spans="1:3">
      <c r="A144" s="79"/>
      <c r="B144" s="56"/>
      <c r="C144" s="78"/>
    </row>
    <row r="145" spans="1:3">
      <c r="A145" s="55">
        <v>16921300</v>
      </c>
      <c r="B145" s="72" t="s">
        <v>98</v>
      </c>
      <c r="C145" s="73">
        <v>25000</v>
      </c>
    </row>
    <row r="146" spans="1:3">
      <c r="A146" s="55">
        <v>16921400</v>
      </c>
      <c r="B146" s="72" t="s">
        <v>99</v>
      </c>
      <c r="C146" s="73">
        <v>5100</v>
      </c>
    </row>
    <row r="147" spans="1:3">
      <c r="A147" s="55">
        <v>16922000</v>
      </c>
      <c r="B147" s="72" t="s">
        <v>100</v>
      </c>
      <c r="C147" s="73">
        <v>500</v>
      </c>
    </row>
    <row r="148" spans="1:3">
      <c r="A148" s="55">
        <v>16922002</v>
      </c>
      <c r="B148" s="72" t="s">
        <v>61</v>
      </c>
      <c r="C148" s="73">
        <v>400</v>
      </c>
    </row>
    <row r="149" spans="1:3">
      <c r="A149" s="55">
        <v>16922103</v>
      </c>
      <c r="B149" s="72" t="s">
        <v>101</v>
      </c>
      <c r="C149" s="73">
        <f>25000+4000</f>
        <v>29000</v>
      </c>
    </row>
    <row r="150" spans="1:3">
      <c r="A150" s="55">
        <v>16922104</v>
      </c>
      <c r="B150" s="72" t="s">
        <v>102</v>
      </c>
      <c r="C150" s="73">
        <v>4500</v>
      </c>
    </row>
    <row r="151" spans="1:3">
      <c r="A151" s="55">
        <v>16922110</v>
      </c>
      <c r="B151" s="72" t="s">
        <v>103</v>
      </c>
      <c r="C151" s="73">
        <v>5000</v>
      </c>
    </row>
    <row r="152" spans="1:3">
      <c r="A152" s="55">
        <v>16922300</v>
      </c>
      <c r="B152" s="72" t="s">
        <v>104</v>
      </c>
      <c r="C152" s="73">
        <v>26000</v>
      </c>
    </row>
    <row r="153" spans="1:3">
      <c r="A153" s="55">
        <v>16922502</v>
      </c>
      <c r="B153" s="72" t="s">
        <v>105</v>
      </c>
      <c r="C153" s="73">
        <v>1200</v>
      </c>
    </row>
    <row r="154" spans="1:3">
      <c r="A154" s="55">
        <v>16922610</v>
      </c>
      <c r="B154" s="72" t="s">
        <v>106</v>
      </c>
      <c r="C154" s="73">
        <v>22900</v>
      </c>
    </row>
    <row r="155" spans="1:3">
      <c r="A155" s="55">
        <v>16922699</v>
      </c>
      <c r="B155" s="72" t="s">
        <v>107</v>
      </c>
      <c r="C155" s="73">
        <v>5000</v>
      </c>
    </row>
    <row r="156" spans="1:3">
      <c r="A156" s="55">
        <v>16922706</v>
      </c>
      <c r="B156" s="72" t="s">
        <v>82</v>
      </c>
      <c r="C156" s="73">
        <v>13000</v>
      </c>
    </row>
    <row r="157" spans="1:3">
      <c r="A157" s="55">
        <v>16922709</v>
      </c>
      <c r="B157" s="72" t="s">
        <v>108</v>
      </c>
      <c r="C157" s="73">
        <v>2800</v>
      </c>
    </row>
    <row r="158" spans="1:3">
      <c r="A158" s="79"/>
      <c r="B158" s="8" t="s">
        <v>22</v>
      </c>
      <c r="C158" s="81">
        <f>SUM(C145:C157)</f>
        <v>140400</v>
      </c>
    </row>
    <row r="159" spans="1:3">
      <c r="A159" s="79"/>
      <c r="B159" s="93"/>
      <c r="C159" s="80"/>
    </row>
    <row r="160" spans="1:3">
      <c r="A160" s="65">
        <v>16962700</v>
      </c>
      <c r="B160" s="66" t="s">
        <v>109</v>
      </c>
      <c r="C160" s="67">
        <v>150000</v>
      </c>
    </row>
    <row r="161" spans="1:3">
      <c r="A161" s="68"/>
      <c r="B161" s="69" t="s">
        <v>22</v>
      </c>
      <c r="C161" s="70">
        <f>SUM(C160:C160)</f>
        <v>150000</v>
      </c>
    </row>
    <row r="162" spans="1:3">
      <c r="A162" s="79"/>
      <c r="B162" s="8"/>
      <c r="C162" s="78"/>
    </row>
    <row r="163" spans="1:3">
      <c r="A163" s="13"/>
      <c r="B163" s="53" t="s">
        <v>110</v>
      </c>
      <c r="C163" s="54"/>
    </row>
    <row r="164" spans="1:3">
      <c r="A164" s="79"/>
      <c r="B164" s="56"/>
      <c r="C164" s="78"/>
    </row>
    <row r="165" spans="1:3">
      <c r="A165" s="83">
        <v>17012000</v>
      </c>
      <c r="B165" s="84" t="s">
        <v>49</v>
      </c>
      <c r="C165" s="85">
        <f>70691.99-7826.77</f>
        <v>62865.22</v>
      </c>
    </row>
    <row r="166" spans="1:3">
      <c r="A166" s="83">
        <v>17012001</v>
      </c>
      <c r="B166" s="84" t="s">
        <v>50</v>
      </c>
      <c r="C166" s="85">
        <f>41879.19-6826.27</f>
        <v>35052.92</v>
      </c>
    </row>
    <row r="167" spans="1:3">
      <c r="A167" s="83">
        <v>17012003</v>
      </c>
      <c r="B167" s="84" t="s">
        <v>51</v>
      </c>
      <c r="C167" s="85">
        <f>201204.37-15535.02-5178.34</f>
        <v>180491.01</v>
      </c>
    </row>
    <row r="168" spans="1:3">
      <c r="A168" s="83">
        <v>17012004</v>
      </c>
      <c r="B168" s="84" t="s">
        <v>72</v>
      </c>
      <c r="C168" s="85">
        <v>17795.97</v>
      </c>
    </row>
    <row r="169" spans="1:3">
      <c r="A169" s="83">
        <v>17012006</v>
      </c>
      <c r="B169" s="84" t="s">
        <v>53</v>
      </c>
      <c r="C169" s="85">
        <v>49506.080000000002</v>
      </c>
    </row>
    <row r="170" spans="1:3">
      <c r="A170" s="83">
        <v>17012100</v>
      </c>
      <c r="B170" s="84" t="s">
        <v>54</v>
      </c>
      <c r="C170" s="85">
        <f>210385.44-4500.93-9584.61-3194.87-4235.35</f>
        <v>188869.68000000002</v>
      </c>
    </row>
    <row r="171" spans="1:3">
      <c r="A171" s="83">
        <v>17012101</v>
      </c>
      <c r="B171" s="84" t="s">
        <v>55</v>
      </c>
      <c r="C171" s="85">
        <f>262537.35-5568.99-10619.07-3539.69-5197.92</f>
        <v>237611.67999999996</v>
      </c>
    </row>
    <row r="172" spans="1:3">
      <c r="A172" s="83">
        <v>17012103</v>
      </c>
      <c r="B172" s="84" t="s">
        <v>56</v>
      </c>
      <c r="C172" s="85">
        <f>181304.25-3748.44-6528.93-2176.31-2698.97</f>
        <v>166151.6</v>
      </c>
    </row>
    <row r="173" spans="1:3">
      <c r="A173" s="83">
        <v>17013000</v>
      </c>
      <c r="B173" s="84" t="s">
        <v>111</v>
      </c>
      <c r="C173" s="85">
        <f>1789975.14-4351.09-3985.1-6826.27-3985.1-27895.7-26106.57-19925.5-8702.19-15940.4-13053.28+8702.19-3985.1-3985.1</f>
        <v>1659935.9299999995</v>
      </c>
    </row>
    <row r="174" spans="1:3">
      <c r="A174" s="83">
        <v>17013002</v>
      </c>
      <c r="B174" s="84" t="s">
        <v>112</v>
      </c>
      <c r="C174" s="85">
        <f>2619264.34-7721.85-5947.11-10877-5947.11-29735.58-12574.63-13127.82-7721.85-16512.18-6440.29-11894.23-18861.95-15443.7-17841.35-6573.89-13127.82-5947.11-5947.11</f>
        <v>2407021.7599999998</v>
      </c>
    </row>
    <row r="175" spans="1:3">
      <c r="A175" s="83">
        <v>17013100</v>
      </c>
      <c r="B175" s="84" t="s">
        <v>113</v>
      </c>
      <c r="C175" s="85">
        <f>139593.56</f>
        <v>139593.56</v>
      </c>
    </row>
    <row r="176" spans="1:3">
      <c r="A176" s="83">
        <v>17015000</v>
      </c>
      <c r="B176" s="84" t="s">
        <v>57</v>
      </c>
      <c r="C176" s="85">
        <v>40078.92</v>
      </c>
    </row>
    <row r="177" spans="1:3">
      <c r="A177" s="83">
        <v>17015100</v>
      </c>
      <c r="B177" s="84" t="s">
        <v>114</v>
      </c>
      <c r="C177" s="85">
        <v>70000</v>
      </c>
    </row>
    <row r="178" spans="1:3">
      <c r="A178" s="83">
        <v>17016000</v>
      </c>
      <c r="B178" s="84" t="s">
        <v>58</v>
      </c>
      <c r="C178" s="85">
        <f>1779150-93.64-93.64-93.64-93.64-655.48-561.84-468.2-187.28-374.56-280.92-187.28-187.28-93.64-93.64</f>
        <v>1775685.3200000005</v>
      </c>
    </row>
    <row r="179" spans="1:3">
      <c r="A179" s="84"/>
      <c r="B179" s="11" t="s">
        <v>22</v>
      </c>
      <c r="C179" s="94">
        <f>SUM(C165:C178)</f>
        <v>7030659.6499999994</v>
      </c>
    </row>
    <row r="180" spans="1:3">
      <c r="A180" s="79"/>
      <c r="B180" s="79"/>
      <c r="C180" s="80"/>
    </row>
    <row r="181" spans="1:3">
      <c r="A181" s="55">
        <v>17020000</v>
      </c>
      <c r="B181" s="72" t="s">
        <v>115</v>
      </c>
      <c r="C181" s="73">
        <v>2200</v>
      </c>
    </row>
    <row r="182" spans="1:3">
      <c r="A182" s="55">
        <v>17020200</v>
      </c>
      <c r="B182" s="72" t="s">
        <v>116</v>
      </c>
      <c r="C182" s="73">
        <v>3500</v>
      </c>
    </row>
    <row r="183" spans="1:3">
      <c r="A183" s="55">
        <v>17020500</v>
      </c>
      <c r="B183" s="72" t="s">
        <v>117</v>
      </c>
      <c r="C183" s="73">
        <v>500</v>
      </c>
    </row>
    <row r="184" spans="1:3">
      <c r="A184" s="55">
        <v>17021200</v>
      </c>
      <c r="B184" s="72" t="s">
        <v>118</v>
      </c>
      <c r="C184" s="73">
        <v>25000</v>
      </c>
    </row>
    <row r="185" spans="1:3">
      <c r="A185" s="55">
        <v>17021300</v>
      </c>
      <c r="B185" s="72" t="s">
        <v>119</v>
      </c>
      <c r="C185" s="73">
        <v>10000</v>
      </c>
    </row>
    <row r="186" spans="1:3">
      <c r="A186" s="55">
        <v>17021400</v>
      </c>
      <c r="B186" s="72" t="s">
        <v>120</v>
      </c>
      <c r="C186" s="73">
        <v>50000</v>
      </c>
    </row>
    <row r="187" spans="1:3">
      <c r="A187" s="55">
        <v>17021500</v>
      </c>
      <c r="B187" s="72" t="s">
        <v>121</v>
      </c>
      <c r="C187" s="73">
        <v>800</v>
      </c>
    </row>
    <row r="188" spans="1:3">
      <c r="A188" s="55">
        <v>17021600</v>
      </c>
      <c r="B188" s="72" t="s">
        <v>122</v>
      </c>
      <c r="C188" s="73">
        <v>4000</v>
      </c>
    </row>
    <row r="189" spans="1:3">
      <c r="A189" s="55">
        <v>17022000</v>
      </c>
      <c r="B189" s="72" t="s">
        <v>29</v>
      </c>
      <c r="C189" s="73">
        <v>5500</v>
      </c>
    </row>
    <row r="190" spans="1:3">
      <c r="A190" s="55">
        <v>17022001</v>
      </c>
      <c r="B190" s="72" t="s">
        <v>123</v>
      </c>
      <c r="C190" s="73">
        <v>2000</v>
      </c>
    </row>
    <row r="191" spans="1:3">
      <c r="A191" s="55">
        <v>17022002</v>
      </c>
      <c r="B191" s="72" t="s">
        <v>61</v>
      </c>
      <c r="C191" s="73">
        <v>4000</v>
      </c>
    </row>
    <row r="192" spans="1:3">
      <c r="A192" s="55">
        <v>17022003</v>
      </c>
      <c r="B192" s="72" t="s">
        <v>124</v>
      </c>
      <c r="C192" s="73">
        <v>12700</v>
      </c>
    </row>
    <row r="193" spans="1:3">
      <c r="A193" s="55">
        <v>17022103</v>
      </c>
      <c r="B193" s="72" t="s">
        <v>125</v>
      </c>
      <c r="C193" s="73">
        <v>90000</v>
      </c>
    </row>
    <row r="194" spans="1:3">
      <c r="A194" s="55">
        <v>17022104</v>
      </c>
      <c r="B194" s="72" t="s">
        <v>126</v>
      </c>
      <c r="C194" s="73">
        <v>30000</v>
      </c>
    </row>
    <row r="195" spans="1:3">
      <c r="A195" s="55">
        <v>17022107</v>
      </c>
      <c r="B195" s="72" t="s">
        <v>127</v>
      </c>
      <c r="C195" s="73">
        <v>20000</v>
      </c>
    </row>
    <row r="196" spans="1:3">
      <c r="A196" s="55">
        <v>17022199</v>
      </c>
      <c r="B196" s="72" t="s">
        <v>128</v>
      </c>
      <c r="C196" s="73">
        <v>40000</v>
      </c>
    </row>
    <row r="197" spans="1:3">
      <c r="A197" s="55">
        <v>17022300</v>
      </c>
      <c r="B197" s="72" t="s">
        <v>104</v>
      </c>
      <c r="C197" s="73">
        <v>1500</v>
      </c>
    </row>
    <row r="198" spans="1:3">
      <c r="A198" s="55">
        <v>17022699</v>
      </c>
      <c r="B198" s="72" t="s">
        <v>129</v>
      </c>
      <c r="C198" s="73">
        <v>20000</v>
      </c>
    </row>
    <row r="199" spans="1:3">
      <c r="A199" s="55">
        <v>17022706</v>
      </c>
      <c r="B199" s="72" t="s">
        <v>130</v>
      </c>
      <c r="C199" s="73">
        <v>20000</v>
      </c>
    </row>
    <row r="200" spans="1:3">
      <c r="A200" s="55">
        <v>17022709</v>
      </c>
      <c r="B200" s="72" t="s">
        <v>131</v>
      </c>
      <c r="C200" s="73">
        <v>20000</v>
      </c>
    </row>
    <row r="201" spans="1:3">
      <c r="A201" s="55">
        <v>17023120</v>
      </c>
      <c r="B201" s="72" t="s">
        <v>38</v>
      </c>
      <c r="C201" s="73">
        <v>1500</v>
      </c>
    </row>
    <row r="202" spans="1:3">
      <c r="A202" s="79"/>
      <c r="B202" s="8" t="s">
        <v>22</v>
      </c>
      <c r="C202" s="81">
        <f>SUM(C181:C201)</f>
        <v>363200</v>
      </c>
    </row>
    <row r="203" spans="1:3">
      <c r="A203" s="79"/>
      <c r="B203" s="8"/>
      <c r="C203" s="78"/>
    </row>
    <row r="204" spans="1:3">
      <c r="A204" s="13"/>
      <c r="B204" s="53" t="s">
        <v>132</v>
      </c>
      <c r="C204" s="54"/>
    </row>
    <row r="205" spans="1:3">
      <c r="A205" s="79"/>
      <c r="B205" s="8"/>
      <c r="C205" s="78"/>
    </row>
    <row r="206" spans="1:3">
      <c r="A206" s="95">
        <v>17220400</v>
      </c>
      <c r="B206" s="96" t="s">
        <v>133</v>
      </c>
      <c r="C206" s="78">
        <v>130000</v>
      </c>
    </row>
    <row r="207" spans="1:3">
      <c r="A207" s="95">
        <v>17221000</v>
      </c>
      <c r="B207" s="96" t="s">
        <v>134</v>
      </c>
      <c r="C207" s="78">
        <v>90000</v>
      </c>
    </row>
    <row r="208" spans="1:3">
      <c r="A208" s="95">
        <v>17221300</v>
      </c>
      <c r="B208" s="96" t="s">
        <v>135</v>
      </c>
      <c r="C208" s="78">
        <v>20000</v>
      </c>
    </row>
    <row r="209" spans="1:3">
      <c r="A209" s="95">
        <v>17221900</v>
      </c>
      <c r="B209" s="96" t="s">
        <v>136</v>
      </c>
      <c r="C209" s="78">
        <v>2000</v>
      </c>
    </row>
    <row r="210" spans="1:3">
      <c r="A210" s="95">
        <v>17222698</v>
      </c>
      <c r="B210" s="96" t="s">
        <v>137</v>
      </c>
      <c r="C210" s="78">
        <v>20000</v>
      </c>
    </row>
    <row r="211" spans="1:3">
      <c r="A211" s="55">
        <v>17222701</v>
      </c>
      <c r="B211" s="72" t="s">
        <v>138</v>
      </c>
      <c r="C211" s="73">
        <f>1000000+450000</f>
        <v>1450000</v>
      </c>
    </row>
    <row r="212" spans="1:3">
      <c r="A212" s="55">
        <v>17222707</v>
      </c>
      <c r="B212" s="72" t="s">
        <v>139</v>
      </c>
      <c r="C212" s="73">
        <v>10000</v>
      </c>
    </row>
    <row r="213" spans="1:3">
      <c r="A213" s="55">
        <v>17222709</v>
      </c>
      <c r="B213" s="72" t="s">
        <v>140</v>
      </c>
      <c r="C213" s="73">
        <v>20000</v>
      </c>
    </row>
    <row r="214" spans="1:3">
      <c r="A214" s="55">
        <v>17222799</v>
      </c>
      <c r="B214" s="72" t="s">
        <v>141</v>
      </c>
      <c r="C214" s="73">
        <v>30000</v>
      </c>
    </row>
    <row r="215" spans="1:3">
      <c r="A215" s="55">
        <v>17223020</v>
      </c>
      <c r="B215" s="72" t="s">
        <v>142</v>
      </c>
      <c r="C215" s="73">
        <v>1000</v>
      </c>
    </row>
    <row r="216" spans="1:3">
      <c r="A216" s="55">
        <v>17223300</v>
      </c>
      <c r="B216" s="72" t="s">
        <v>143</v>
      </c>
      <c r="C216" s="73">
        <v>115000</v>
      </c>
    </row>
    <row r="217" spans="1:3">
      <c r="A217" s="79"/>
      <c r="B217" s="8" t="s">
        <v>22</v>
      </c>
      <c r="C217" s="81">
        <f>SUM(C206:C216)</f>
        <v>1888000</v>
      </c>
    </row>
    <row r="218" spans="1:3">
      <c r="A218" s="79"/>
      <c r="B218" s="93"/>
      <c r="C218" s="80"/>
    </row>
    <row r="219" spans="1:3">
      <c r="A219" s="97">
        <v>17235800</v>
      </c>
      <c r="B219" s="98" t="s">
        <v>144</v>
      </c>
      <c r="C219" s="99">
        <v>24800</v>
      </c>
    </row>
    <row r="220" spans="1:3">
      <c r="A220" s="100"/>
      <c r="B220" s="101" t="s">
        <v>22</v>
      </c>
      <c r="C220" s="102">
        <f>SUM(C219)</f>
        <v>24800</v>
      </c>
    </row>
    <row r="221" spans="1:3">
      <c r="A221" s="79"/>
      <c r="B221" s="93"/>
      <c r="C221" s="80"/>
    </row>
    <row r="222" spans="1:3">
      <c r="A222" s="65">
        <v>17260000</v>
      </c>
      <c r="B222" s="66" t="s">
        <v>145</v>
      </c>
      <c r="C222" s="67">
        <v>2650</v>
      </c>
    </row>
    <row r="223" spans="1:3">
      <c r="A223" s="65">
        <v>17260100</v>
      </c>
      <c r="B223" s="66" t="s">
        <v>146</v>
      </c>
      <c r="C223" s="67">
        <v>10000</v>
      </c>
    </row>
    <row r="224" spans="1:3">
      <c r="A224" s="65">
        <v>17260200</v>
      </c>
      <c r="B224" s="66" t="s">
        <v>147</v>
      </c>
      <c r="C224" s="67">
        <v>10000</v>
      </c>
    </row>
    <row r="225" spans="1:3">
      <c r="A225" s="65">
        <v>17261100</v>
      </c>
      <c r="B225" s="66" t="s">
        <v>148</v>
      </c>
      <c r="C225" s="67">
        <v>500000</v>
      </c>
    </row>
    <row r="226" spans="1:3">
      <c r="A226" s="65">
        <v>17261102</v>
      </c>
      <c r="B226" s="66" t="s">
        <v>149</v>
      </c>
      <c r="C226" s="67">
        <v>50000</v>
      </c>
    </row>
    <row r="227" spans="1:3">
      <c r="A227" s="65">
        <v>17262701</v>
      </c>
      <c r="B227" s="66" t="s">
        <v>150</v>
      </c>
      <c r="C227" s="67">
        <v>19206.5</v>
      </c>
    </row>
    <row r="228" spans="1:3">
      <c r="A228" s="65">
        <v>17264800</v>
      </c>
      <c r="B228" s="66" t="s">
        <v>151</v>
      </c>
      <c r="C228" s="67">
        <v>60000</v>
      </c>
    </row>
    <row r="229" spans="1:3">
      <c r="A229" s="68"/>
      <c r="B229" s="69" t="s">
        <v>22</v>
      </c>
      <c r="C229" s="70">
        <f>SUM(C222:C228)</f>
        <v>651856.5</v>
      </c>
    </row>
    <row r="230" spans="1:3">
      <c r="A230" s="76"/>
      <c r="B230" s="77"/>
      <c r="C230" s="78"/>
    </row>
    <row r="231" spans="1:3">
      <c r="A231" s="13"/>
      <c r="B231" s="53" t="s">
        <v>152</v>
      </c>
      <c r="C231" s="54"/>
    </row>
    <row r="232" spans="1:3">
      <c r="A232" s="79"/>
      <c r="B232" s="79"/>
      <c r="C232" s="80"/>
    </row>
    <row r="233" spans="1:3">
      <c r="A233" s="55">
        <v>17922611</v>
      </c>
      <c r="B233" s="72" t="s">
        <v>153</v>
      </c>
      <c r="C233" s="73">
        <v>700</v>
      </c>
    </row>
    <row r="234" spans="1:3">
      <c r="A234" s="55">
        <v>17923300</v>
      </c>
      <c r="B234" s="72" t="s">
        <v>154</v>
      </c>
      <c r="C234" s="73">
        <v>1000</v>
      </c>
    </row>
    <row r="235" spans="1:3">
      <c r="A235" s="79"/>
      <c r="B235" s="8" t="s">
        <v>22</v>
      </c>
      <c r="C235" s="81">
        <f>SUM(C233:C234)</f>
        <v>1700</v>
      </c>
    </row>
    <row r="236" spans="1:3">
      <c r="A236" s="79"/>
      <c r="B236" s="103"/>
      <c r="C236" s="78"/>
    </row>
    <row r="237" spans="1:3">
      <c r="A237" s="60">
        <v>17948100</v>
      </c>
      <c r="B237" s="61" t="s">
        <v>155</v>
      </c>
      <c r="C237" s="74">
        <v>2000</v>
      </c>
    </row>
    <row r="238" spans="1:3">
      <c r="A238" s="60">
        <v>17948902</v>
      </c>
      <c r="B238" s="61" t="s">
        <v>156</v>
      </c>
      <c r="C238" s="74">
        <v>70300</v>
      </c>
    </row>
    <row r="239" spans="1:3">
      <c r="A239" s="60">
        <v>17948903</v>
      </c>
      <c r="B239" s="61" t="s">
        <v>157</v>
      </c>
      <c r="C239" s="74">
        <v>25000</v>
      </c>
    </row>
    <row r="240" spans="1:3">
      <c r="A240" s="75"/>
      <c r="B240" s="63" t="s">
        <v>22</v>
      </c>
      <c r="C240" s="64">
        <f>SUM(C237:C239)</f>
        <v>97300</v>
      </c>
    </row>
    <row r="241" spans="1:3">
      <c r="A241" s="79"/>
      <c r="B241" s="93"/>
      <c r="C241" s="80"/>
    </row>
    <row r="242" spans="1:3">
      <c r="A242" s="65">
        <v>17960000</v>
      </c>
      <c r="B242" s="66" t="s">
        <v>158</v>
      </c>
      <c r="C242" s="67">
        <v>30000</v>
      </c>
    </row>
    <row r="243" spans="1:3">
      <c r="A243" s="68"/>
      <c r="B243" s="69" t="s">
        <v>22</v>
      </c>
      <c r="C243" s="70">
        <f>SUM(C242:C242)</f>
        <v>30000</v>
      </c>
    </row>
    <row r="244" spans="1:3">
      <c r="A244" s="79"/>
      <c r="B244" s="93"/>
      <c r="C244" s="80"/>
    </row>
    <row r="245" spans="1:3">
      <c r="A245" s="13"/>
      <c r="B245" s="53" t="s">
        <v>159</v>
      </c>
      <c r="C245" s="54"/>
    </row>
    <row r="246" spans="1:3">
      <c r="A246" s="79"/>
      <c r="B246" s="79"/>
      <c r="C246" s="80"/>
    </row>
    <row r="247" spans="1:3">
      <c r="A247" s="83">
        <v>21116102</v>
      </c>
      <c r="B247" s="104" t="s">
        <v>160</v>
      </c>
      <c r="C247" s="85">
        <v>189900</v>
      </c>
    </row>
    <row r="248" spans="1:3">
      <c r="A248" s="83">
        <v>21116103</v>
      </c>
      <c r="B248" s="104" t="s">
        <v>161</v>
      </c>
      <c r="C248" s="85">
        <v>600000</v>
      </c>
    </row>
    <row r="249" spans="1:3">
      <c r="A249" s="83">
        <v>21116104</v>
      </c>
      <c r="B249" s="104" t="s">
        <v>162</v>
      </c>
      <c r="C249" s="85">
        <v>84104.66</v>
      </c>
    </row>
    <row r="250" spans="1:3">
      <c r="A250" s="83">
        <v>21116105</v>
      </c>
      <c r="B250" s="105" t="s">
        <v>163</v>
      </c>
      <c r="C250" s="85">
        <v>10000</v>
      </c>
    </row>
    <row r="251" spans="1:3">
      <c r="A251" s="84"/>
      <c r="B251" s="11" t="s">
        <v>22</v>
      </c>
      <c r="C251" s="94">
        <f>SUM(C247:C250)</f>
        <v>884004.66</v>
      </c>
    </row>
    <row r="252" spans="1:3">
      <c r="A252" s="79"/>
      <c r="B252" s="79"/>
      <c r="C252" s="80"/>
    </row>
    <row r="253" spans="1:3">
      <c r="A253" s="13"/>
      <c r="B253" s="53" t="s">
        <v>164</v>
      </c>
      <c r="C253" s="54"/>
    </row>
    <row r="254" spans="1:3">
      <c r="A254" s="79"/>
      <c r="B254" s="93"/>
      <c r="C254" s="80"/>
    </row>
    <row r="255" spans="1:3">
      <c r="A255" s="83">
        <v>22116008</v>
      </c>
      <c r="B255" s="84" t="s">
        <v>165</v>
      </c>
      <c r="C255" s="85">
        <v>90000</v>
      </c>
    </row>
    <row r="256" spans="1:3">
      <c r="A256" s="83">
        <v>22116200</v>
      </c>
      <c r="B256" s="84" t="s">
        <v>166</v>
      </c>
      <c r="C256" s="85">
        <v>45000</v>
      </c>
    </row>
    <row r="257" spans="1:3">
      <c r="A257" s="83">
        <v>22116204</v>
      </c>
      <c r="B257" s="84" t="s">
        <v>167</v>
      </c>
      <c r="C257" s="85">
        <v>10000</v>
      </c>
    </row>
    <row r="258" spans="1:3">
      <c r="A258" s="83">
        <v>22116205</v>
      </c>
      <c r="B258" s="84" t="s">
        <v>168</v>
      </c>
      <c r="C258" s="85">
        <v>110000</v>
      </c>
    </row>
    <row r="259" spans="1:3">
      <c r="A259" s="83">
        <v>22116206</v>
      </c>
      <c r="B259" s="84" t="s">
        <v>169</v>
      </c>
      <c r="C259" s="85">
        <v>105000</v>
      </c>
    </row>
    <row r="260" spans="1:3">
      <c r="A260" s="83">
        <v>22116207</v>
      </c>
      <c r="B260" s="84" t="s">
        <v>170</v>
      </c>
      <c r="C260" s="85">
        <v>10000</v>
      </c>
    </row>
    <row r="261" spans="1:3">
      <c r="A261" s="83">
        <v>22116400</v>
      </c>
      <c r="B261" s="84" t="s">
        <v>171</v>
      </c>
      <c r="C261" s="85">
        <v>40000</v>
      </c>
    </row>
    <row r="262" spans="1:3">
      <c r="A262" s="83"/>
      <c r="B262" s="11" t="s">
        <v>22</v>
      </c>
      <c r="C262" s="94">
        <f>SUM(C255:C261)</f>
        <v>410000</v>
      </c>
    </row>
    <row r="263" spans="1:3">
      <c r="A263" s="76"/>
      <c r="B263" s="77"/>
      <c r="C263" s="78"/>
    </row>
    <row r="264" spans="1:3">
      <c r="A264" s="60">
        <v>22148900</v>
      </c>
      <c r="B264" s="60" t="s">
        <v>172</v>
      </c>
      <c r="C264" s="74">
        <v>26613.9</v>
      </c>
    </row>
    <row r="265" spans="1:3">
      <c r="A265" s="76"/>
      <c r="B265" s="106" t="s">
        <v>22</v>
      </c>
      <c r="C265" s="107">
        <f>SUM(C264)</f>
        <v>26613.9</v>
      </c>
    </row>
    <row r="266" spans="1:3">
      <c r="A266" s="76"/>
      <c r="B266" s="77"/>
      <c r="C266" s="78"/>
    </row>
    <row r="267" spans="1:3">
      <c r="A267" s="13"/>
      <c r="B267" s="53" t="s">
        <v>173</v>
      </c>
      <c r="C267" s="54"/>
    </row>
    <row r="268" spans="1:3">
      <c r="A268" s="76"/>
      <c r="B268" s="77"/>
      <c r="C268" s="78"/>
    </row>
    <row r="269" spans="1:3">
      <c r="A269" s="83">
        <v>23012000</v>
      </c>
      <c r="B269" s="104" t="s">
        <v>49</v>
      </c>
      <c r="C269" s="85">
        <v>48017.2</v>
      </c>
    </row>
    <row r="270" spans="1:3">
      <c r="A270" s="83">
        <v>23012001</v>
      </c>
      <c r="B270" s="104" t="s">
        <v>50</v>
      </c>
      <c r="C270" s="85">
        <v>41879.19</v>
      </c>
    </row>
    <row r="271" spans="1:3">
      <c r="A271" s="83">
        <v>23012003</v>
      </c>
      <c r="B271" s="104" t="s">
        <v>51</v>
      </c>
      <c r="C271" s="85">
        <v>10589.7</v>
      </c>
    </row>
    <row r="272" spans="1:3">
      <c r="A272" s="83">
        <v>23012004</v>
      </c>
      <c r="B272" s="104" t="s">
        <v>72</v>
      </c>
      <c r="C272" s="85">
        <v>39299.440000000002</v>
      </c>
    </row>
    <row r="273" spans="1:3">
      <c r="A273" s="83">
        <v>23012006</v>
      </c>
      <c r="B273" s="104" t="s">
        <v>53</v>
      </c>
      <c r="C273" s="85">
        <v>19089.95</v>
      </c>
    </row>
    <row r="274" spans="1:3">
      <c r="A274" s="83">
        <v>23012100</v>
      </c>
      <c r="B274" s="104" t="s">
        <v>54</v>
      </c>
      <c r="C274" s="85">
        <v>88858.26</v>
      </c>
    </row>
    <row r="275" spans="1:3">
      <c r="A275" s="83">
        <v>23012101</v>
      </c>
      <c r="B275" s="104" t="s">
        <v>55</v>
      </c>
      <c r="C275" s="85">
        <v>111647.06</v>
      </c>
    </row>
    <row r="276" spans="1:3">
      <c r="A276" s="83">
        <v>23012103</v>
      </c>
      <c r="B276" s="104" t="s">
        <v>56</v>
      </c>
      <c r="C276" s="85">
        <v>73756.73</v>
      </c>
    </row>
    <row r="277" spans="1:3">
      <c r="A277" s="83">
        <v>23013000</v>
      </c>
      <c r="B277" s="104" t="s">
        <v>174</v>
      </c>
      <c r="C277" s="85">
        <v>506712.26</v>
      </c>
    </row>
    <row r="278" spans="1:3">
      <c r="A278" s="83">
        <v>23013002</v>
      </c>
      <c r="B278" s="104" t="s">
        <v>175</v>
      </c>
      <c r="C278" s="85">
        <v>784857.95</v>
      </c>
    </row>
    <row r="279" spans="1:3">
      <c r="A279" s="83">
        <v>23015000</v>
      </c>
      <c r="B279" s="104" t="s">
        <v>57</v>
      </c>
      <c r="C279" s="85">
        <v>8241.32</v>
      </c>
    </row>
    <row r="280" spans="1:3">
      <c r="A280" s="83">
        <v>23016000</v>
      </c>
      <c r="B280" s="104" t="s">
        <v>58</v>
      </c>
      <c r="C280" s="85">
        <v>577629.93999999994</v>
      </c>
    </row>
    <row r="281" spans="1:3">
      <c r="A281" s="84"/>
      <c r="B281" s="11" t="s">
        <v>22</v>
      </c>
      <c r="C281" s="86">
        <f>SUM(C269:C280)</f>
        <v>2310579</v>
      </c>
    </row>
    <row r="282" spans="1:3">
      <c r="A282" s="79"/>
      <c r="B282" s="8"/>
      <c r="C282" s="80"/>
    </row>
    <row r="283" spans="1:3">
      <c r="A283" s="55">
        <v>23022000</v>
      </c>
      <c r="B283" s="79" t="s">
        <v>176</v>
      </c>
      <c r="C283" s="73">
        <v>1000</v>
      </c>
    </row>
    <row r="284" spans="1:3">
      <c r="A284" s="55">
        <v>23022001</v>
      </c>
      <c r="B284" s="79" t="s">
        <v>177</v>
      </c>
      <c r="C284" s="73">
        <v>100</v>
      </c>
    </row>
    <row r="285" spans="1:3">
      <c r="A285" s="55">
        <v>23022300</v>
      </c>
      <c r="B285" s="79" t="s">
        <v>178</v>
      </c>
      <c r="C285" s="73">
        <v>200</v>
      </c>
    </row>
    <row r="286" spans="1:3">
      <c r="A286" s="55">
        <v>23022602</v>
      </c>
      <c r="B286" s="79" t="s">
        <v>31</v>
      </c>
      <c r="C286" s="73">
        <v>5000</v>
      </c>
    </row>
    <row r="287" spans="1:3">
      <c r="A287" s="108"/>
      <c r="B287" s="8" t="s">
        <v>22</v>
      </c>
      <c r="C287" s="59">
        <f>SUM(C283:C286)</f>
        <v>6300</v>
      </c>
    </row>
    <row r="288" spans="1:3">
      <c r="A288" s="108"/>
      <c r="B288" s="8"/>
      <c r="C288" s="57"/>
    </row>
    <row r="289" spans="1:3">
      <c r="A289" s="65">
        <v>23062700</v>
      </c>
      <c r="B289" s="68" t="s">
        <v>179</v>
      </c>
      <c r="C289" s="67">
        <v>5000</v>
      </c>
    </row>
    <row r="290" spans="1:3">
      <c r="A290" s="92"/>
      <c r="B290" s="69" t="s">
        <v>22</v>
      </c>
      <c r="C290" s="70">
        <f>SUM(C289)</f>
        <v>5000</v>
      </c>
    </row>
    <row r="291" spans="1:3">
      <c r="A291" s="108"/>
      <c r="B291" s="8"/>
      <c r="C291" s="57"/>
    </row>
    <row r="292" spans="1:3">
      <c r="A292" s="13"/>
      <c r="B292" s="53" t="s">
        <v>167</v>
      </c>
      <c r="C292" s="54"/>
    </row>
    <row r="293" spans="1:3">
      <c r="A293" s="108"/>
      <c r="B293" s="109"/>
      <c r="C293" s="110"/>
    </row>
    <row r="294" spans="1:3">
      <c r="A294" s="55">
        <v>23122608</v>
      </c>
      <c r="B294" s="111" t="s">
        <v>180</v>
      </c>
      <c r="C294" s="73">
        <v>25000</v>
      </c>
    </row>
    <row r="295" spans="1:3">
      <c r="A295" s="55">
        <v>23122610</v>
      </c>
      <c r="B295" s="111" t="s">
        <v>181</v>
      </c>
      <c r="C295" s="73">
        <v>114000</v>
      </c>
    </row>
    <row r="296" spans="1:3">
      <c r="A296" s="55">
        <v>23122615</v>
      </c>
      <c r="B296" s="111" t="s">
        <v>182</v>
      </c>
      <c r="C296" s="73">
        <v>235000</v>
      </c>
    </row>
    <row r="297" spans="1:3">
      <c r="A297" s="55">
        <v>23122616</v>
      </c>
      <c r="B297" s="111" t="s">
        <v>183</v>
      </c>
      <c r="C297" s="112">
        <v>229362.88</v>
      </c>
    </row>
    <row r="298" spans="1:3">
      <c r="A298" s="113">
        <v>23122709</v>
      </c>
      <c r="B298" s="111" t="s">
        <v>184</v>
      </c>
      <c r="C298" s="73">
        <v>1257060</v>
      </c>
    </row>
    <row r="299" spans="1:3">
      <c r="A299" s="113">
        <v>23122710</v>
      </c>
      <c r="B299" s="111" t="s">
        <v>185</v>
      </c>
      <c r="C299" s="73">
        <v>125395.65</v>
      </c>
    </row>
    <row r="300" spans="1:3">
      <c r="A300" s="113">
        <v>23122711</v>
      </c>
      <c r="B300" s="111" t="s">
        <v>186</v>
      </c>
      <c r="C300" s="73">
        <v>26835.599999999999</v>
      </c>
    </row>
    <row r="301" spans="1:3">
      <c r="A301" s="113">
        <v>23122712</v>
      </c>
      <c r="B301" s="111" t="s">
        <v>187</v>
      </c>
      <c r="C301" s="73">
        <v>30000</v>
      </c>
    </row>
    <row r="302" spans="1:3">
      <c r="A302" s="108"/>
      <c r="B302" s="8" t="s">
        <v>22</v>
      </c>
      <c r="C302" s="59">
        <f>SUM(C294:C301)</f>
        <v>2042654.13</v>
      </c>
    </row>
    <row r="303" spans="1:3">
      <c r="A303" s="108"/>
      <c r="B303" s="109"/>
      <c r="C303" s="110"/>
    </row>
    <row r="304" spans="1:3">
      <c r="A304" s="60">
        <v>23146200</v>
      </c>
      <c r="B304" s="61" t="s">
        <v>188</v>
      </c>
      <c r="C304" s="74">
        <v>100000</v>
      </c>
    </row>
    <row r="305" spans="1:3">
      <c r="A305" s="60">
        <v>23146201</v>
      </c>
      <c r="B305" s="61" t="s">
        <v>189</v>
      </c>
      <c r="C305" s="74">
        <v>5000</v>
      </c>
    </row>
    <row r="306" spans="1:3">
      <c r="A306" s="60">
        <v>23146204</v>
      </c>
      <c r="B306" s="61" t="s">
        <v>190</v>
      </c>
      <c r="C306" s="74">
        <v>12000</v>
      </c>
    </row>
    <row r="307" spans="1:3">
      <c r="A307" s="60">
        <v>23146206</v>
      </c>
      <c r="B307" s="61" t="s">
        <v>191</v>
      </c>
      <c r="C307" s="74">
        <v>75000</v>
      </c>
    </row>
    <row r="308" spans="1:3">
      <c r="A308" s="60">
        <v>23148001</v>
      </c>
      <c r="B308" s="61" t="s">
        <v>192</v>
      </c>
      <c r="C308" s="74">
        <v>350000</v>
      </c>
    </row>
    <row r="309" spans="1:3">
      <c r="A309" s="60">
        <v>23148002</v>
      </c>
      <c r="B309" s="61" t="s">
        <v>193</v>
      </c>
      <c r="C309" s="74">
        <v>20000</v>
      </c>
    </row>
    <row r="310" spans="1:3">
      <c r="A310" s="60">
        <v>23148004</v>
      </c>
      <c r="B310" s="61" t="s">
        <v>194</v>
      </c>
      <c r="C310" s="74">
        <v>85000</v>
      </c>
    </row>
    <row r="311" spans="1:3">
      <c r="A311" s="60">
        <v>23148006</v>
      </c>
      <c r="B311" s="61" t="s">
        <v>195</v>
      </c>
      <c r="C311" s="74">
        <v>24838.400000000001</v>
      </c>
    </row>
    <row r="312" spans="1:3">
      <c r="A312" s="60">
        <v>23148007</v>
      </c>
      <c r="B312" s="61" t="s">
        <v>196</v>
      </c>
      <c r="C312" s="74">
        <v>28000</v>
      </c>
    </row>
    <row r="313" spans="1:3">
      <c r="A313" s="60">
        <v>23148008</v>
      </c>
      <c r="B313" s="61" t="s">
        <v>197</v>
      </c>
      <c r="C313" s="74">
        <v>47233.34</v>
      </c>
    </row>
    <row r="314" spans="1:3">
      <c r="A314" s="60">
        <v>23148009</v>
      </c>
      <c r="B314" s="61" t="s">
        <v>198</v>
      </c>
      <c r="C314" s="74">
        <v>67582.17</v>
      </c>
    </row>
    <row r="315" spans="1:3">
      <c r="A315" s="60">
        <v>23148010</v>
      </c>
      <c r="B315" s="61" t="s">
        <v>199</v>
      </c>
      <c r="C315" s="74">
        <v>34936.519999999997</v>
      </c>
    </row>
    <row r="316" spans="1:3">
      <c r="A316" s="60">
        <v>23148011</v>
      </c>
      <c r="B316" s="61" t="s">
        <v>200</v>
      </c>
      <c r="C316" s="74">
        <v>4078.54</v>
      </c>
    </row>
    <row r="317" spans="1:3">
      <c r="A317" s="60">
        <v>23148012</v>
      </c>
      <c r="B317" s="61" t="s">
        <v>201</v>
      </c>
      <c r="C317" s="74">
        <v>22882.75</v>
      </c>
    </row>
    <row r="318" spans="1:3">
      <c r="A318" s="60">
        <v>23148013</v>
      </c>
      <c r="B318" s="61" t="s">
        <v>202</v>
      </c>
      <c r="C318" s="74">
        <v>48903.3</v>
      </c>
    </row>
    <row r="319" spans="1:3">
      <c r="A319" s="60">
        <v>23148014</v>
      </c>
      <c r="B319" s="61" t="s">
        <v>203</v>
      </c>
      <c r="C319" s="74">
        <v>66414.92</v>
      </c>
    </row>
    <row r="320" spans="1:3">
      <c r="A320" s="60">
        <v>23148015</v>
      </c>
      <c r="B320" s="61" t="s">
        <v>204</v>
      </c>
      <c r="C320" s="74">
        <v>48485.78</v>
      </c>
    </row>
    <row r="321" spans="1:3">
      <c r="A321" s="60">
        <v>23148016</v>
      </c>
      <c r="B321" s="61" t="s">
        <v>205</v>
      </c>
      <c r="C321" s="74">
        <v>43482.67</v>
      </c>
    </row>
    <row r="322" spans="1:3">
      <c r="A322" s="60">
        <v>23148017</v>
      </c>
      <c r="B322" s="61" t="s">
        <v>206</v>
      </c>
      <c r="C322" s="74">
        <v>10000</v>
      </c>
    </row>
    <row r="323" spans="1:3">
      <c r="A323" s="60">
        <v>23148101</v>
      </c>
      <c r="B323" s="61" t="s">
        <v>207</v>
      </c>
      <c r="C323" s="74">
        <v>4500</v>
      </c>
    </row>
    <row r="324" spans="1:3">
      <c r="A324" s="60">
        <v>23148900</v>
      </c>
      <c r="B324" s="61" t="s">
        <v>208</v>
      </c>
      <c r="C324" s="74">
        <v>36000</v>
      </c>
    </row>
    <row r="325" spans="1:3">
      <c r="A325" s="60">
        <v>23148901</v>
      </c>
      <c r="B325" s="61" t="s">
        <v>209</v>
      </c>
      <c r="C325" s="74">
        <v>15000</v>
      </c>
    </row>
    <row r="326" spans="1:3">
      <c r="A326" s="60">
        <v>23148903</v>
      </c>
      <c r="B326" s="61" t="s">
        <v>210</v>
      </c>
      <c r="C326" s="74">
        <v>18000</v>
      </c>
    </row>
    <row r="327" spans="1:3">
      <c r="A327" s="60">
        <v>23148904</v>
      </c>
      <c r="B327" s="61" t="s">
        <v>211</v>
      </c>
      <c r="C327" s="74">
        <v>21000</v>
      </c>
    </row>
    <row r="328" spans="1:3">
      <c r="A328" s="60">
        <v>23148905</v>
      </c>
      <c r="B328" s="61" t="s">
        <v>212</v>
      </c>
      <c r="C328" s="74">
        <v>20000</v>
      </c>
    </row>
    <row r="329" spans="1:3">
      <c r="A329" s="60">
        <v>23148906</v>
      </c>
      <c r="B329" s="61" t="s">
        <v>213</v>
      </c>
      <c r="C329" s="74">
        <v>15000</v>
      </c>
    </row>
    <row r="330" spans="1:3">
      <c r="A330" s="60">
        <v>23148907</v>
      </c>
      <c r="B330" s="61" t="s">
        <v>214</v>
      </c>
      <c r="C330" s="74">
        <v>3000</v>
      </c>
    </row>
    <row r="331" spans="1:3">
      <c r="A331" s="60">
        <v>23148908</v>
      </c>
      <c r="B331" s="61" t="s">
        <v>215</v>
      </c>
      <c r="C331" s="74">
        <v>14400</v>
      </c>
    </row>
    <row r="332" spans="1:3">
      <c r="A332" s="60">
        <v>23148909</v>
      </c>
      <c r="B332" s="61" t="s">
        <v>216</v>
      </c>
      <c r="C332" s="74">
        <v>10000</v>
      </c>
    </row>
    <row r="333" spans="1:3">
      <c r="A333" s="60">
        <v>23148911</v>
      </c>
      <c r="B333" s="61" t="s">
        <v>217</v>
      </c>
      <c r="C333" s="74">
        <v>14400</v>
      </c>
    </row>
    <row r="334" spans="1:3">
      <c r="A334" s="60">
        <v>23148912</v>
      </c>
      <c r="B334" s="61" t="s">
        <v>218</v>
      </c>
      <c r="C334" s="74">
        <v>15000</v>
      </c>
    </row>
    <row r="335" spans="1:3">
      <c r="A335" s="60">
        <v>23148914</v>
      </c>
      <c r="B335" s="61" t="s">
        <v>219</v>
      </c>
      <c r="C335" s="74">
        <v>10000</v>
      </c>
    </row>
    <row r="336" spans="1:3">
      <c r="A336" s="114">
        <v>23148916</v>
      </c>
      <c r="B336" s="115" t="s">
        <v>220</v>
      </c>
      <c r="C336" s="116">
        <v>12700.18</v>
      </c>
    </row>
    <row r="337" spans="1:3">
      <c r="A337" s="114">
        <v>23148917</v>
      </c>
      <c r="B337" s="115" t="s">
        <v>221</v>
      </c>
      <c r="C337" s="116">
        <v>42432.52</v>
      </c>
    </row>
    <row r="338" spans="1:3">
      <c r="A338" s="60">
        <v>23148918</v>
      </c>
      <c r="B338" s="61" t="s">
        <v>222</v>
      </c>
      <c r="C338" s="74">
        <v>75000</v>
      </c>
    </row>
    <row r="339" spans="1:3">
      <c r="A339" s="60">
        <v>23148920</v>
      </c>
      <c r="B339" s="61" t="s">
        <v>223</v>
      </c>
      <c r="C339" s="74">
        <v>22000</v>
      </c>
    </row>
    <row r="340" spans="1:3">
      <c r="A340" s="60">
        <v>23148921</v>
      </c>
      <c r="B340" s="61" t="s">
        <v>224</v>
      </c>
      <c r="C340" s="74">
        <v>23200</v>
      </c>
    </row>
    <row r="341" spans="1:3">
      <c r="A341" s="114">
        <v>23148923</v>
      </c>
      <c r="B341" s="115" t="s">
        <v>225</v>
      </c>
      <c r="C341" s="116">
        <v>10000</v>
      </c>
    </row>
    <row r="342" spans="1:3">
      <c r="A342" s="60">
        <v>23149000</v>
      </c>
      <c r="B342" s="61" t="s">
        <v>226</v>
      </c>
      <c r="C342" s="74">
        <v>9000</v>
      </c>
    </row>
    <row r="343" spans="1:3">
      <c r="A343" s="60">
        <v>23149001</v>
      </c>
      <c r="B343" s="61" t="s">
        <v>227</v>
      </c>
      <c r="C343" s="74">
        <v>1600</v>
      </c>
    </row>
    <row r="344" spans="1:3">
      <c r="A344" s="91"/>
      <c r="B344" s="63" t="s">
        <v>22</v>
      </c>
      <c r="C344" s="64">
        <f>SUM(C304:C343)</f>
        <v>1486071.09</v>
      </c>
    </row>
    <row r="345" spans="1:3">
      <c r="A345" s="117"/>
      <c r="B345" s="109"/>
      <c r="C345" s="110"/>
    </row>
    <row r="346" spans="1:3">
      <c r="A346" s="65">
        <v>23162702</v>
      </c>
      <c r="B346" s="118" t="s">
        <v>228</v>
      </c>
      <c r="C346" s="67">
        <v>1000</v>
      </c>
    </row>
    <row r="347" spans="1:3">
      <c r="A347" s="92"/>
      <c r="B347" s="69" t="s">
        <v>22</v>
      </c>
      <c r="C347" s="70">
        <f>SUM(C346)</f>
        <v>1000</v>
      </c>
    </row>
    <row r="348" spans="1:3">
      <c r="A348" s="117"/>
      <c r="B348" s="109"/>
      <c r="C348" s="110"/>
    </row>
    <row r="349" spans="1:3">
      <c r="A349" s="119">
        <v>23178901</v>
      </c>
      <c r="B349" s="120" t="s">
        <v>229</v>
      </c>
      <c r="C349" s="121">
        <v>4686</v>
      </c>
    </row>
    <row r="350" spans="1:3">
      <c r="A350" s="119">
        <v>23178903</v>
      </c>
      <c r="B350" s="120" t="s">
        <v>230</v>
      </c>
      <c r="C350" s="121">
        <v>20000</v>
      </c>
    </row>
    <row r="351" spans="1:3">
      <c r="A351" s="122"/>
      <c r="B351" s="123" t="s">
        <v>22</v>
      </c>
      <c r="C351" s="124">
        <f>SUM(C349:C350)</f>
        <v>24686</v>
      </c>
    </row>
    <row r="352" spans="1:3">
      <c r="A352" s="117"/>
      <c r="B352" s="109"/>
      <c r="C352" s="110"/>
    </row>
    <row r="353" spans="1:3">
      <c r="A353" s="13"/>
      <c r="B353" s="53" t="s">
        <v>231</v>
      </c>
      <c r="C353" s="54"/>
    </row>
    <row r="354" spans="1:3">
      <c r="A354" s="79"/>
      <c r="B354" s="79"/>
      <c r="C354" s="80"/>
    </row>
    <row r="355" spans="1:3">
      <c r="A355" s="55">
        <v>23222606</v>
      </c>
      <c r="B355" s="79" t="s">
        <v>232</v>
      </c>
      <c r="C355" s="73">
        <v>10000</v>
      </c>
    </row>
    <row r="356" spans="1:3">
      <c r="A356" s="55">
        <v>23222612</v>
      </c>
      <c r="B356" s="79" t="s">
        <v>233</v>
      </c>
      <c r="C356" s="73">
        <v>10000</v>
      </c>
    </row>
    <row r="357" spans="1:3">
      <c r="A357" s="79"/>
      <c r="B357" s="8" t="s">
        <v>22</v>
      </c>
      <c r="C357" s="59">
        <f>SUM(C355:C356)</f>
        <v>20000</v>
      </c>
    </row>
    <row r="358" spans="1:3">
      <c r="A358" s="108"/>
      <c r="B358" s="109"/>
      <c r="C358" s="110"/>
    </row>
    <row r="359" spans="1:3">
      <c r="A359" s="13"/>
      <c r="B359" s="53" t="s">
        <v>234</v>
      </c>
      <c r="C359" s="54"/>
    </row>
    <row r="360" spans="1:3">
      <c r="A360" s="79"/>
      <c r="B360" s="8"/>
      <c r="C360" s="57"/>
    </row>
    <row r="361" spans="1:3">
      <c r="A361" s="95">
        <v>23322703</v>
      </c>
      <c r="B361" s="96" t="s">
        <v>235</v>
      </c>
      <c r="C361" s="57">
        <v>2098345.9900000002</v>
      </c>
    </row>
    <row r="362" spans="1:3">
      <c r="A362" s="95">
        <v>23322709</v>
      </c>
      <c r="B362" s="96" t="s">
        <v>236</v>
      </c>
      <c r="C362" s="57">
        <f>242969.1-120000-80000</f>
        <v>42969.100000000006</v>
      </c>
    </row>
    <row r="363" spans="1:3">
      <c r="A363" s="76"/>
      <c r="B363" s="77" t="s">
        <v>22</v>
      </c>
      <c r="C363" s="81">
        <f>SUM(C361:C362)</f>
        <v>2141315.0900000003</v>
      </c>
    </row>
    <row r="364" spans="1:3">
      <c r="A364" s="79"/>
      <c r="B364" s="8"/>
      <c r="C364" s="57"/>
    </row>
    <row r="365" spans="1:3">
      <c r="A365" s="125">
        <v>23346203</v>
      </c>
      <c r="B365" s="61" t="s">
        <v>237</v>
      </c>
      <c r="C365" s="74">
        <f>231909.4-15500.64</f>
        <v>216408.76</v>
      </c>
    </row>
    <row r="366" spans="1:3">
      <c r="A366" s="60">
        <v>23346204</v>
      </c>
      <c r="B366" s="61" t="s">
        <v>238</v>
      </c>
      <c r="C366" s="74">
        <f>195292.13-13053.18</f>
        <v>182238.95</v>
      </c>
    </row>
    <row r="367" spans="1:3">
      <c r="A367" s="60">
        <v>23346205</v>
      </c>
      <c r="B367" s="61" t="s">
        <v>239</v>
      </c>
      <c r="C367" s="74">
        <v>33900</v>
      </c>
    </row>
    <row r="368" spans="1:3">
      <c r="A368" s="60">
        <v>23346206</v>
      </c>
      <c r="B368" s="61" t="s">
        <v>240</v>
      </c>
      <c r="C368" s="74">
        <f>201908.75-13944.59</f>
        <v>187964.16</v>
      </c>
    </row>
    <row r="369" spans="1:3">
      <c r="A369" s="60">
        <v>23346207</v>
      </c>
      <c r="B369" s="61" t="s">
        <v>241</v>
      </c>
      <c r="C369" s="74">
        <v>18000</v>
      </c>
    </row>
    <row r="370" spans="1:3">
      <c r="A370" s="60">
        <v>23346208</v>
      </c>
      <c r="B370" s="61" t="s">
        <v>242</v>
      </c>
      <c r="C370" s="74">
        <v>25000</v>
      </c>
    </row>
    <row r="371" spans="1:3">
      <c r="A371" s="60">
        <v>23346209</v>
      </c>
      <c r="B371" s="61" t="s">
        <v>243</v>
      </c>
      <c r="C371" s="74">
        <v>18691</v>
      </c>
    </row>
    <row r="372" spans="1:3">
      <c r="A372" s="60">
        <v>23346210</v>
      </c>
      <c r="B372" s="61" t="s">
        <v>244</v>
      </c>
      <c r="C372" s="74">
        <v>110000</v>
      </c>
    </row>
    <row r="373" spans="1:3">
      <c r="A373" s="60">
        <v>23346211</v>
      </c>
      <c r="B373" s="61" t="s">
        <v>245</v>
      </c>
      <c r="C373" s="74">
        <f>170880.61-11421.53</f>
        <v>159459.07999999999</v>
      </c>
    </row>
    <row r="374" spans="1:3">
      <c r="A374" s="60">
        <v>23346212</v>
      </c>
      <c r="B374" s="61" t="s">
        <v>246</v>
      </c>
      <c r="C374" s="74">
        <f>341761.22-22843.05</f>
        <v>318918.17</v>
      </c>
    </row>
    <row r="375" spans="1:3">
      <c r="A375" s="60">
        <v>23346213</v>
      </c>
      <c r="B375" s="61" t="s">
        <v>247</v>
      </c>
      <c r="C375" s="74">
        <f>174987.58-12085.31</f>
        <v>162902.26999999999</v>
      </c>
    </row>
    <row r="376" spans="1:3">
      <c r="A376" s="60">
        <v>23346214</v>
      </c>
      <c r="B376" s="61" t="s">
        <v>248</v>
      </c>
      <c r="C376" s="74">
        <f>271839.12-43575.42</f>
        <v>228263.7</v>
      </c>
    </row>
    <row r="377" spans="1:3">
      <c r="A377" s="60">
        <v>23346215</v>
      </c>
      <c r="B377" s="61" t="s">
        <v>249</v>
      </c>
      <c r="C377" s="74">
        <f>243129.51-37785.51</f>
        <v>205344</v>
      </c>
    </row>
    <row r="378" spans="1:3">
      <c r="A378" s="60">
        <v>23346216</v>
      </c>
      <c r="B378" s="61" t="s">
        <v>250</v>
      </c>
      <c r="C378" s="74">
        <f>74809.08-6361.08</f>
        <v>68448</v>
      </c>
    </row>
    <row r="379" spans="1:3">
      <c r="A379" s="60">
        <v>23346217</v>
      </c>
      <c r="B379" s="61" t="s">
        <v>251</v>
      </c>
      <c r="C379" s="74">
        <f>40381.75-2788.92</f>
        <v>37592.83</v>
      </c>
    </row>
    <row r="380" spans="1:3">
      <c r="A380" s="60">
        <v>23346218</v>
      </c>
      <c r="B380" s="61" t="s">
        <v>252</v>
      </c>
      <c r="C380" s="74">
        <f>146469.1-9789.89</f>
        <v>136679.21000000002</v>
      </c>
    </row>
    <row r="381" spans="1:3">
      <c r="A381" s="60">
        <v>23346219</v>
      </c>
      <c r="B381" s="61" t="s">
        <v>253</v>
      </c>
      <c r="C381" s="74">
        <f>317349.71-21211.41</f>
        <v>296138.30000000005</v>
      </c>
    </row>
    <row r="382" spans="1:3">
      <c r="A382" s="60">
        <v>23346220</v>
      </c>
      <c r="B382" s="61" t="s">
        <v>254</v>
      </c>
      <c r="C382" s="74">
        <f>207497.89-13869</f>
        <v>193628.89</v>
      </c>
    </row>
    <row r="383" spans="1:3">
      <c r="A383" s="60">
        <v>23346221</v>
      </c>
      <c r="B383" s="61" t="s">
        <v>255</v>
      </c>
      <c r="C383" s="74">
        <v>81940</v>
      </c>
    </row>
    <row r="384" spans="1:3">
      <c r="A384" s="60">
        <v>23346222</v>
      </c>
      <c r="B384" s="61" t="s">
        <v>256</v>
      </c>
      <c r="C384" s="74">
        <f>53842.33-3718.55</f>
        <v>50123.78</v>
      </c>
    </row>
    <row r="385" spans="1:3">
      <c r="A385" s="60">
        <v>23346223</v>
      </c>
      <c r="B385" s="61" t="s">
        <v>257</v>
      </c>
      <c r="C385" s="74">
        <f>540792.23-23658.88</f>
        <v>517133.35</v>
      </c>
    </row>
    <row r="386" spans="1:3">
      <c r="A386" s="60">
        <v>23346224</v>
      </c>
      <c r="B386" s="61" t="s">
        <v>258</v>
      </c>
      <c r="C386" s="74">
        <f>134605.83-24454.83</f>
        <v>110150.99999999999</v>
      </c>
    </row>
    <row r="387" spans="1:3">
      <c r="A387" s="60">
        <v>23346225</v>
      </c>
      <c r="B387" s="61" t="s">
        <v>259</v>
      </c>
      <c r="C387" s="74">
        <f>121158.04-27175.96</f>
        <v>93982.079999999987</v>
      </c>
    </row>
    <row r="388" spans="1:3">
      <c r="A388" s="60">
        <v>23346226</v>
      </c>
      <c r="B388" s="61" t="s">
        <v>260</v>
      </c>
      <c r="C388" s="74">
        <f>67302.92-4648.2</f>
        <v>62654.720000000001</v>
      </c>
    </row>
    <row r="389" spans="1:3">
      <c r="A389" s="60">
        <v>23346228</v>
      </c>
      <c r="B389" s="61" t="s">
        <v>261</v>
      </c>
      <c r="C389" s="74">
        <f>336832.81-318119.88</f>
        <v>18712.929999999993</v>
      </c>
    </row>
    <row r="390" spans="1:3">
      <c r="A390" s="60">
        <v>23348900</v>
      </c>
      <c r="B390" s="61" t="s">
        <v>262</v>
      </c>
      <c r="C390" s="74">
        <v>122378.48</v>
      </c>
    </row>
    <row r="391" spans="1:3">
      <c r="A391" s="60">
        <v>23348904</v>
      </c>
      <c r="B391" s="61" t="s">
        <v>263</v>
      </c>
      <c r="C391" s="74">
        <f>211959.06-29431.06</f>
        <v>182528</v>
      </c>
    </row>
    <row r="392" spans="1:3">
      <c r="A392" s="60">
        <v>23348905</v>
      </c>
      <c r="B392" s="61" t="s">
        <v>264</v>
      </c>
      <c r="C392" s="74">
        <f>74809.08-6361.08</f>
        <v>68448</v>
      </c>
    </row>
    <row r="393" spans="1:3">
      <c r="A393" s="60">
        <v>23348906</v>
      </c>
      <c r="B393" s="61" t="s">
        <v>265</v>
      </c>
      <c r="C393" s="74">
        <f>174554.52-14842.52</f>
        <v>159712</v>
      </c>
    </row>
    <row r="394" spans="1:3">
      <c r="A394" s="60">
        <v>23348907</v>
      </c>
      <c r="B394" s="61" t="s">
        <v>266</v>
      </c>
      <c r="C394" s="74">
        <f>158674.85-10605.7</f>
        <v>148069.15</v>
      </c>
    </row>
    <row r="395" spans="1:3">
      <c r="A395" s="60">
        <v>23348908</v>
      </c>
      <c r="B395" s="61" t="s">
        <v>267</v>
      </c>
      <c r="C395" s="74">
        <f>142538.87-1550.87</f>
        <v>140988</v>
      </c>
    </row>
    <row r="396" spans="1:3">
      <c r="A396" s="60">
        <v>23348910</v>
      </c>
      <c r="B396" s="61" t="s">
        <v>268</v>
      </c>
      <c r="C396" s="74">
        <f>261600-172220</f>
        <v>89380</v>
      </c>
    </row>
    <row r="397" spans="1:3">
      <c r="A397" s="126"/>
      <c r="B397" s="63" t="s">
        <v>22</v>
      </c>
      <c r="C397" s="64">
        <f>SUM(C365:C396)</f>
        <v>4445778.8100000005</v>
      </c>
    </row>
    <row r="398" spans="1:3">
      <c r="A398" s="79"/>
      <c r="B398" s="8"/>
      <c r="C398" s="57"/>
    </row>
    <row r="399" spans="1:3">
      <c r="A399" s="65">
        <v>23362700</v>
      </c>
      <c r="B399" s="66" t="s">
        <v>269</v>
      </c>
      <c r="C399" s="67">
        <v>108900</v>
      </c>
    </row>
    <row r="400" spans="1:3">
      <c r="A400" s="65">
        <v>23362701</v>
      </c>
      <c r="B400" s="66" t="s">
        <v>270</v>
      </c>
      <c r="C400" s="67">
        <v>80000</v>
      </c>
    </row>
    <row r="401" spans="1:3">
      <c r="A401" s="65">
        <v>23362702</v>
      </c>
      <c r="B401" s="66" t="s">
        <v>271</v>
      </c>
      <c r="C401" s="67">
        <f>5000000-700000-650000</f>
        <v>3650000</v>
      </c>
    </row>
    <row r="402" spans="1:3">
      <c r="A402" s="127">
        <v>23365000</v>
      </c>
      <c r="B402" s="68" t="s">
        <v>272</v>
      </c>
      <c r="C402" s="128">
        <v>504.1</v>
      </c>
    </row>
    <row r="403" spans="1:3">
      <c r="A403" s="92"/>
      <c r="B403" s="69" t="s">
        <v>22</v>
      </c>
      <c r="C403" s="70">
        <f>SUM(C399:C402)</f>
        <v>3839404.1</v>
      </c>
    </row>
    <row r="404" spans="1:3">
      <c r="A404" s="117"/>
      <c r="B404" s="77"/>
      <c r="C404" s="81"/>
    </row>
    <row r="405" spans="1:3">
      <c r="A405" s="13"/>
      <c r="B405" s="53" t="s">
        <v>273</v>
      </c>
      <c r="C405" s="54"/>
    </row>
    <row r="406" spans="1:3">
      <c r="A406" s="79"/>
      <c r="B406" s="8"/>
      <c r="C406" s="57"/>
    </row>
    <row r="407" spans="1:3">
      <c r="A407" s="129">
        <v>23512001</v>
      </c>
      <c r="B407" s="130" t="s">
        <v>50</v>
      </c>
      <c r="C407" s="131">
        <v>13959.73</v>
      </c>
    </row>
    <row r="408" spans="1:3">
      <c r="A408" s="83">
        <v>23512100</v>
      </c>
      <c r="B408" s="84" t="s">
        <v>54</v>
      </c>
      <c r="C408" s="85">
        <v>8119.04</v>
      </c>
    </row>
    <row r="409" spans="1:3">
      <c r="A409" s="83">
        <v>23512101</v>
      </c>
      <c r="B409" s="84" t="s">
        <v>55</v>
      </c>
      <c r="C409" s="85">
        <v>8605.0300000000007</v>
      </c>
    </row>
    <row r="410" spans="1:3">
      <c r="A410" s="83">
        <v>23512103</v>
      </c>
      <c r="B410" s="84" t="s">
        <v>56</v>
      </c>
      <c r="C410" s="85">
        <v>5519.4</v>
      </c>
    </row>
    <row r="411" spans="1:3">
      <c r="A411" s="83">
        <v>23513000</v>
      </c>
      <c r="B411" s="84" t="s">
        <v>274</v>
      </c>
      <c r="C411" s="85">
        <f>1286138.37-39159.85-15940.4</f>
        <v>1231038.1200000001</v>
      </c>
    </row>
    <row r="412" spans="1:3">
      <c r="A412" s="83">
        <v>23513002</v>
      </c>
      <c r="B412" s="84" t="s">
        <v>175</v>
      </c>
      <c r="C412" s="85">
        <f>1979600.02-62414.19-24819.7</f>
        <v>1892366.1300000001</v>
      </c>
    </row>
    <row r="413" spans="1:3">
      <c r="A413" s="83">
        <v>23513100</v>
      </c>
      <c r="B413" s="84" t="s">
        <v>275</v>
      </c>
      <c r="C413" s="85">
        <v>1112649.21</v>
      </c>
    </row>
    <row r="414" spans="1:3">
      <c r="A414" s="83">
        <v>23515000</v>
      </c>
      <c r="B414" s="84" t="s">
        <v>57</v>
      </c>
      <c r="C414" s="132">
        <v>23222.720000000001</v>
      </c>
    </row>
    <row r="415" spans="1:3">
      <c r="A415" s="83">
        <v>23515100</v>
      </c>
      <c r="B415" s="84" t="s">
        <v>276</v>
      </c>
      <c r="C415" s="85">
        <v>143461</v>
      </c>
    </row>
    <row r="416" spans="1:3">
      <c r="A416" s="83">
        <v>23516000</v>
      </c>
      <c r="B416" s="84" t="s">
        <v>58</v>
      </c>
      <c r="C416" s="85">
        <f>1330613.73-842.76-374.56</f>
        <v>1329396.4099999999</v>
      </c>
    </row>
    <row r="417" spans="1:3">
      <c r="A417" s="83"/>
      <c r="B417" s="11" t="s">
        <v>22</v>
      </c>
      <c r="C417" s="86">
        <f>SUM(C407:C416)</f>
        <v>5768336.79</v>
      </c>
    </row>
    <row r="418" spans="1:3">
      <c r="A418" s="88"/>
      <c r="B418" s="77"/>
      <c r="C418" s="133"/>
    </row>
    <row r="419" spans="1:3">
      <c r="A419" s="55">
        <v>23522105</v>
      </c>
      <c r="B419" s="79" t="s">
        <v>277</v>
      </c>
      <c r="C419" s="73">
        <v>345000</v>
      </c>
    </row>
    <row r="420" spans="1:3">
      <c r="A420" s="55">
        <v>23522699</v>
      </c>
      <c r="B420" s="95" t="s">
        <v>20</v>
      </c>
      <c r="C420" s="73">
        <f>417100-150000</f>
        <v>267100</v>
      </c>
    </row>
    <row r="421" spans="1:3">
      <c r="A421" s="79"/>
      <c r="B421" s="77" t="s">
        <v>22</v>
      </c>
      <c r="C421" s="59">
        <f>SUM(C419:C420)</f>
        <v>612100</v>
      </c>
    </row>
    <row r="422" spans="1:3">
      <c r="A422" s="79"/>
      <c r="B422" s="77"/>
      <c r="C422" s="59"/>
    </row>
    <row r="423" spans="1:3">
      <c r="A423" s="127">
        <v>23562700</v>
      </c>
      <c r="B423" s="68" t="s">
        <v>278</v>
      </c>
      <c r="C423" s="128">
        <v>39700</v>
      </c>
    </row>
    <row r="424" spans="1:3">
      <c r="A424" s="92"/>
      <c r="B424" s="69" t="s">
        <v>22</v>
      </c>
      <c r="C424" s="70">
        <f>SUM(C422:C423)</f>
        <v>39700</v>
      </c>
    </row>
    <row r="425" spans="1:3">
      <c r="A425" s="88"/>
      <c r="B425" s="77"/>
      <c r="C425" s="133"/>
    </row>
    <row r="426" spans="1:3">
      <c r="A426" s="13"/>
      <c r="B426" s="53" t="s">
        <v>279</v>
      </c>
      <c r="C426" s="54"/>
    </row>
    <row r="427" spans="1:3">
      <c r="A427" s="88"/>
      <c r="B427" s="88"/>
      <c r="C427" s="133"/>
    </row>
    <row r="428" spans="1:3">
      <c r="A428" s="83">
        <v>24112000</v>
      </c>
      <c r="B428" s="83" t="s">
        <v>49</v>
      </c>
      <c r="C428" s="85">
        <v>16005.73</v>
      </c>
    </row>
    <row r="429" spans="1:3">
      <c r="A429" s="83">
        <v>24112004</v>
      </c>
      <c r="B429" s="84" t="s">
        <v>72</v>
      </c>
      <c r="C429" s="85">
        <v>17795.97</v>
      </c>
    </row>
    <row r="430" spans="1:3">
      <c r="A430" s="83">
        <v>24112006</v>
      </c>
      <c r="B430" s="84" t="s">
        <v>53</v>
      </c>
      <c r="C430" s="85">
        <v>5640.95</v>
      </c>
    </row>
    <row r="431" spans="1:3">
      <c r="A431" s="83">
        <v>24112100</v>
      </c>
      <c r="B431" s="84" t="s">
        <v>54</v>
      </c>
      <c r="C431" s="85">
        <v>23433.23</v>
      </c>
    </row>
    <row r="432" spans="1:3">
      <c r="A432" s="83">
        <v>24112101</v>
      </c>
      <c r="B432" s="84" t="s">
        <v>55</v>
      </c>
      <c r="C432" s="85">
        <v>35644.06</v>
      </c>
    </row>
    <row r="433" spans="1:3">
      <c r="A433" s="83">
        <v>24112103</v>
      </c>
      <c r="B433" s="84" t="s">
        <v>280</v>
      </c>
      <c r="C433" s="85">
        <v>18872.93</v>
      </c>
    </row>
    <row r="434" spans="1:3">
      <c r="A434" s="83">
        <v>24113000</v>
      </c>
      <c r="B434" s="84" t="s">
        <v>111</v>
      </c>
      <c r="C434" s="85">
        <v>117178.12</v>
      </c>
    </row>
    <row r="435" spans="1:3">
      <c r="A435" s="83">
        <v>24113002</v>
      </c>
      <c r="B435" s="84" t="s">
        <v>175</v>
      </c>
      <c r="C435" s="85">
        <v>191256.8</v>
      </c>
    </row>
    <row r="436" spans="1:3">
      <c r="A436" s="83">
        <v>24113003</v>
      </c>
      <c r="B436" s="84" t="s">
        <v>281</v>
      </c>
      <c r="C436" s="85">
        <v>17495.73</v>
      </c>
    </row>
    <row r="437" spans="1:3">
      <c r="A437" s="83">
        <v>24114305</v>
      </c>
      <c r="B437" s="105" t="s">
        <v>282</v>
      </c>
      <c r="C437" s="85">
        <v>335373.06</v>
      </c>
    </row>
    <row r="438" spans="1:3">
      <c r="A438" s="83">
        <v>24114306</v>
      </c>
      <c r="B438" s="105" t="s">
        <v>283</v>
      </c>
      <c r="C438" s="85">
        <v>370000</v>
      </c>
    </row>
    <row r="439" spans="1:3">
      <c r="A439" s="83">
        <v>24114307</v>
      </c>
      <c r="B439" s="105" t="s">
        <v>284</v>
      </c>
      <c r="C439" s="85">
        <v>80000</v>
      </c>
    </row>
    <row r="440" spans="1:3">
      <c r="A440" s="83">
        <v>24114308</v>
      </c>
      <c r="B440" s="105" t="s">
        <v>285</v>
      </c>
      <c r="C440" s="85">
        <v>1600</v>
      </c>
    </row>
    <row r="441" spans="1:3">
      <c r="A441" s="83">
        <v>24114309</v>
      </c>
      <c r="B441" s="105" t="s">
        <v>286</v>
      </c>
      <c r="C441" s="85">
        <v>11000</v>
      </c>
    </row>
    <row r="442" spans="1:3">
      <c r="A442" s="83">
        <v>24115000</v>
      </c>
      <c r="B442" s="105" t="s">
        <v>287</v>
      </c>
      <c r="C442" s="85">
        <v>1685.52</v>
      </c>
    </row>
    <row r="443" spans="1:3">
      <c r="A443" s="83">
        <v>24116000</v>
      </c>
      <c r="B443" s="84" t="s">
        <v>58</v>
      </c>
      <c r="C443" s="85">
        <v>345047.09</v>
      </c>
    </row>
    <row r="444" spans="1:3">
      <c r="A444" s="84"/>
      <c r="B444" s="11" t="s">
        <v>22</v>
      </c>
      <c r="C444" s="86">
        <f>SUM(C428:C443)</f>
        <v>1588029.1900000002</v>
      </c>
    </row>
    <row r="445" spans="1:3">
      <c r="A445" s="79"/>
      <c r="B445" s="8"/>
      <c r="C445" s="80"/>
    </row>
    <row r="446" spans="1:3">
      <c r="A446" s="55">
        <v>24120400</v>
      </c>
      <c r="B446" s="72" t="s">
        <v>288</v>
      </c>
      <c r="C446" s="73">
        <v>22635.03</v>
      </c>
    </row>
    <row r="447" spans="1:3">
      <c r="A447" s="55">
        <v>24121400</v>
      </c>
      <c r="B447" s="72" t="s">
        <v>289</v>
      </c>
      <c r="C447" s="73">
        <v>4000</v>
      </c>
    </row>
    <row r="448" spans="1:3">
      <c r="A448" s="55">
        <v>24122000</v>
      </c>
      <c r="B448" s="72" t="s">
        <v>59</v>
      </c>
      <c r="C448" s="73">
        <v>600</v>
      </c>
    </row>
    <row r="449" spans="1:3">
      <c r="A449" s="55">
        <v>24122103</v>
      </c>
      <c r="B449" s="72" t="s">
        <v>125</v>
      </c>
      <c r="C449" s="73">
        <v>500</v>
      </c>
    </row>
    <row r="450" spans="1:3">
      <c r="A450" s="55">
        <v>24122300</v>
      </c>
      <c r="B450" s="72" t="s">
        <v>79</v>
      </c>
      <c r="C450" s="73">
        <v>150</v>
      </c>
    </row>
    <row r="451" spans="1:3">
      <c r="A451" s="55">
        <v>24122502</v>
      </c>
      <c r="B451" s="72" t="s">
        <v>290</v>
      </c>
      <c r="C451" s="73">
        <v>1000</v>
      </c>
    </row>
    <row r="452" spans="1:3">
      <c r="A452" s="55">
        <v>24122603</v>
      </c>
      <c r="B452" s="72" t="s">
        <v>291</v>
      </c>
      <c r="C452" s="73">
        <v>300</v>
      </c>
    </row>
    <row r="453" spans="1:3">
      <c r="A453" s="55">
        <v>24122612</v>
      </c>
      <c r="B453" s="72" t="s">
        <v>292</v>
      </c>
      <c r="C453" s="73">
        <v>12192.76</v>
      </c>
    </row>
    <row r="454" spans="1:3">
      <c r="A454" s="55">
        <v>24122617</v>
      </c>
      <c r="B454" s="72" t="s">
        <v>293</v>
      </c>
      <c r="C454" s="73">
        <v>50000</v>
      </c>
    </row>
    <row r="455" spans="1:3">
      <c r="A455" s="55">
        <v>24122618</v>
      </c>
      <c r="B455" s="72" t="s">
        <v>294</v>
      </c>
      <c r="C455" s="73">
        <v>30000</v>
      </c>
    </row>
    <row r="456" spans="1:3">
      <c r="A456" s="55">
        <v>24122619</v>
      </c>
      <c r="B456" s="72" t="s">
        <v>295</v>
      </c>
      <c r="C456" s="73">
        <v>15000</v>
      </c>
    </row>
    <row r="457" spans="1:3">
      <c r="A457" s="55">
        <v>24122620</v>
      </c>
      <c r="B457" s="72" t="s">
        <v>296</v>
      </c>
      <c r="C457" s="73">
        <v>1000</v>
      </c>
    </row>
    <row r="458" spans="1:3">
      <c r="A458" s="55">
        <v>24122621</v>
      </c>
      <c r="B458" s="72" t="s">
        <v>297</v>
      </c>
      <c r="C458" s="73">
        <v>20000</v>
      </c>
    </row>
    <row r="459" spans="1:3">
      <c r="A459" s="55">
        <v>24122623</v>
      </c>
      <c r="B459" s="72" t="s">
        <v>298</v>
      </c>
      <c r="C459" s="73">
        <v>17900</v>
      </c>
    </row>
    <row r="460" spans="1:3">
      <c r="A460" s="55">
        <v>24122625</v>
      </c>
      <c r="B460" s="72" t="s">
        <v>299</v>
      </c>
      <c r="C460" s="73">
        <f>11575.6-4584.02</f>
        <v>6991.58</v>
      </c>
    </row>
    <row r="461" spans="1:3">
      <c r="A461" s="55">
        <v>24122699</v>
      </c>
      <c r="B461" s="72" t="s">
        <v>20</v>
      </c>
      <c r="C461" s="73">
        <v>10000</v>
      </c>
    </row>
    <row r="462" spans="1:3">
      <c r="A462" s="82"/>
      <c r="B462" s="8" t="s">
        <v>22</v>
      </c>
      <c r="C462" s="59">
        <f>SUM(C446:C461)</f>
        <v>192269.37</v>
      </c>
    </row>
    <row r="463" spans="1:3">
      <c r="A463" s="117"/>
      <c r="B463" s="109"/>
      <c r="C463" s="54"/>
    </row>
    <row r="464" spans="1:3">
      <c r="A464" s="60">
        <v>24146202</v>
      </c>
      <c r="B464" s="61" t="s">
        <v>300</v>
      </c>
      <c r="C464" s="74">
        <f>2062192.77-1829508.42</f>
        <v>232684.35000000009</v>
      </c>
    </row>
    <row r="465" spans="1:3">
      <c r="A465" s="60">
        <v>24147000</v>
      </c>
      <c r="B465" s="61" t="s">
        <v>301</v>
      </c>
      <c r="C465" s="74">
        <v>30000</v>
      </c>
    </row>
    <row r="466" spans="1:3">
      <c r="A466" s="60">
        <v>24147001</v>
      </c>
      <c r="B466" s="61" t="s">
        <v>302</v>
      </c>
      <c r="C466" s="74">
        <f>360000-300000</f>
        <v>60000</v>
      </c>
    </row>
    <row r="467" spans="1:3">
      <c r="A467" s="60">
        <v>24148900</v>
      </c>
      <c r="B467" s="61" t="s">
        <v>303</v>
      </c>
      <c r="C467" s="74">
        <f>300000-180000</f>
        <v>120000</v>
      </c>
    </row>
    <row r="468" spans="1:3">
      <c r="A468" s="91"/>
      <c r="B468" s="63" t="s">
        <v>22</v>
      </c>
      <c r="C468" s="64">
        <f>SUM(C464:C467)</f>
        <v>442684.35000000009</v>
      </c>
    </row>
    <row r="469" spans="1:3">
      <c r="A469" s="117"/>
      <c r="B469" s="109"/>
      <c r="C469" s="54"/>
    </row>
    <row r="470" spans="1:3">
      <c r="A470" s="65">
        <v>24162600</v>
      </c>
      <c r="B470" s="134" t="s">
        <v>304</v>
      </c>
      <c r="C470" s="67">
        <v>12000</v>
      </c>
    </row>
    <row r="471" spans="1:3">
      <c r="A471" s="65">
        <v>24162703</v>
      </c>
      <c r="B471" s="134" t="s">
        <v>305</v>
      </c>
      <c r="C471" s="67">
        <v>300</v>
      </c>
    </row>
    <row r="472" spans="1:3">
      <c r="A472" s="92"/>
      <c r="B472" s="69" t="s">
        <v>22</v>
      </c>
      <c r="C472" s="70">
        <f>SUM(C470:C471)</f>
        <v>12300</v>
      </c>
    </row>
    <row r="473" spans="1:3">
      <c r="A473" s="108"/>
      <c r="B473" s="90"/>
      <c r="C473" s="54"/>
    </row>
    <row r="474" spans="1:3">
      <c r="A474" s="119">
        <v>24177000</v>
      </c>
      <c r="B474" s="135" t="s">
        <v>306</v>
      </c>
      <c r="C474" s="121">
        <f>300000-180000</f>
        <v>120000</v>
      </c>
    </row>
    <row r="475" spans="1:3">
      <c r="A475" s="136"/>
      <c r="B475" s="123" t="s">
        <v>22</v>
      </c>
      <c r="C475" s="124">
        <f>SUM(C474:C474)</f>
        <v>120000</v>
      </c>
    </row>
    <row r="476" spans="1:3">
      <c r="A476" s="79"/>
      <c r="B476" s="8"/>
      <c r="C476" s="57"/>
    </row>
    <row r="477" spans="1:3">
      <c r="A477" s="13"/>
      <c r="B477" s="53" t="s">
        <v>307</v>
      </c>
      <c r="C477" s="54"/>
    </row>
    <row r="478" spans="1:3">
      <c r="A478" s="79"/>
      <c r="B478" s="8"/>
      <c r="C478" s="57"/>
    </row>
    <row r="479" spans="1:3">
      <c r="A479" s="83">
        <v>31212000</v>
      </c>
      <c r="B479" s="84" t="s">
        <v>49</v>
      </c>
      <c r="C479" s="85">
        <v>80028.67</v>
      </c>
    </row>
    <row r="480" spans="1:3">
      <c r="A480" s="83">
        <v>31212001</v>
      </c>
      <c r="B480" s="84" t="s">
        <v>50</v>
      </c>
      <c r="C480" s="85">
        <v>111677.84</v>
      </c>
    </row>
    <row r="481" spans="1:3">
      <c r="A481" s="83">
        <v>31212004</v>
      </c>
      <c r="B481" s="84" t="s">
        <v>72</v>
      </c>
      <c r="C481" s="85">
        <f>142367.77-4351.09</f>
        <v>138016.68</v>
      </c>
    </row>
    <row r="482" spans="1:3">
      <c r="A482" s="83">
        <v>31212006</v>
      </c>
      <c r="B482" s="84" t="s">
        <v>53</v>
      </c>
      <c r="C482" s="85">
        <v>99626.08</v>
      </c>
    </row>
    <row r="483" spans="1:3">
      <c r="A483" s="83">
        <v>31212100</v>
      </c>
      <c r="B483" s="84" t="s">
        <v>54</v>
      </c>
      <c r="C483" s="85">
        <f>214546.64-2705.36</f>
        <v>211841.28000000003</v>
      </c>
    </row>
    <row r="484" spans="1:3">
      <c r="A484" s="83">
        <v>31212101</v>
      </c>
      <c r="B484" s="84" t="s">
        <v>55</v>
      </c>
      <c r="C484" s="85">
        <f>261126.79-2629.06</f>
        <v>258497.73</v>
      </c>
    </row>
    <row r="485" spans="1:3">
      <c r="A485" s="83">
        <v>31212103</v>
      </c>
      <c r="B485" s="84" t="s">
        <v>56</v>
      </c>
      <c r="C485" s="85">
        <f>214429.64-1600.49</f>
        <v>212829.15000000002</v>
      </c>
    </row>
    <row r="486" spans="1:3">
      <c r="A486" s="83">
        <v>31213000</v>
      </c>
      <c r="B486" s="84" t="s">
        <v>308</v>
      </c>
      <c r="C486" s="85">
        <f>1091128-13053.28-15940.4-5178.21</f>
        <v>1056956.1100000001</v>
      </c>
    </row>
    <row r="487" spans="1:3">
      <c r="A487" s="83">
        <v>31213002</v>
      </c>
      <c r="B487" s="84" t="s">
        <v>175</v>
      </c>
      <c r="C487" s="85">
        <f>1657449.68-20804.73-11894.23-12409.85-8910.87</f>
        <v>1603429.9999999998</v>
      </c>
    </row>
    <row r="488" spans="1:3">
      <c r="A488" s="83">
        <v>31213100</v>
      </c>
      <c r="B488" s="84" t="s">
        <v>309</v>
      </c>
      <c r="C488" s="85">
        <v>1231660.28</v>
      </c>
    </row>
    <row r="489" spans="1:3">
      <c r="A489" s="83">
        <v>31215000</v>
      </c>
      <c r="B489" s="84" t="s">
        <v>57</v>
      </c>
      <c r="C489" s="85">
        <v>26407.48</v>
      </c>
    </row>
    <row r="490" spans="1:3">
      <c r="A490" s="83">
        <v>31215100</v>
      </c>
      <c r="B490" s="84" t="s">
        <v>310</v>
      </c>
      <c r="C490" s="85">
        <v>182341.6</v>
      </c>
    </row>
    <row r="491" spans="1:3">
      <c r="A491" s="83">
        <v>31216000</v>
      </c>
      <c r="B491" s="84" t="s">
        <v>58</v>
      </c>
      <c r="C491" s="85">
        <f>1578196.84-280.92-374.56-93.64-93.64</f>
        <v>1577354.0800000003</v>
      </c>
    </row>
    <row r="492" spans="1:3">
      <c r="A492" s="84"/>
      <c r="B492" s="11" t="s">
        <v>22</v>
      </c>
      <c r="C492" s="86">
        <f>SUM(C479:C491)</f>
        <v>6790666.9800000004</v>
      </c>
    </row>
    <row r="493" spans="1:3">
      <c r="A493" s="79"/>
      <c r="B493" s="8"/>
      <c r="C493" s="80"/>
    </row>
    <row r="494" spans="1:3">
      <c r="A494" s="55">
        <v>31221300</v>
      </c>
      <c r="B494" s="72" t="s">
        <v>311</v>
      </c>
      <c r="C494" s="73">
        <v>6000</v>
      </c>
    </row>
    <row r="495" spans="1:3">
      <c r="A495" s="55">
        <v>31221400</v>
      </c>
      <c r="B495" s="72" t="s">
        <v>312</v>
      </c>
      <c r="C495" s="73">
        <v>800</v>
      </c>
    </row>
    <row r="496" spans="1:3">
      <c r="A496" s="55">
        <v>31221500</v>
      </c>
      <c r="B496" s="72" t="s">
        <v>313</v>
      </c>
      <c r="C496" s="73">
        <v>8000</v>
      </c>
    </row>
    <row r="497" spans="1:3">
      <c r="A497" s="55">
        <v>31221900</v>
      </c>
      <c r="B497" s="72" t="s">
        <v>314</v>
      </c>
      <c r="C497" s="73">
        <v>12000</v>
      </c>
    </row>
    <row r="498" spans="1:3">
      <c r="A498" s="55">
        <v>31222000</v>
      </c>
      <c r="B498" s="72" t="s">
        <v>315</v>
      </c>
      <c r="C498" s="73">
        <v>1100</v>
      </c>
    </row>
    <row r="499" spans="1:3">
      <c r="A499" s="55">
        <v>31222002</v>
      </c>
      <c r="B499" s="72" t="s">
        <v>61</v>
      </c>
      <c r="C499" s="73">
        <v>400</v>
      </c>
    </row>
    <row r="500" spans="1:3">
      <c r="A500" s="55">
        <v>31222102</v>
      </c>
      <c r="B500" s="72" t="s">
        <v>316</v>
      </c>
      <c r="C500" s="73">
        <v>10000</v>
      </c>
    </row>
    <row r="501" spans="1:3">
      <c r="A501" s="55">
        <v>31222103</v>
      </c>
      <c r="B501" s="72" t="s">
        <v>317</v>
      </c>
      <c r="C501" s="73">
        <v>1300</v>
      </c>
    </row>
    <row r="502" spans="1:3">
      <c r="A502" s="55">
        <v>31222104</v>
      </c>
      <c r="B502" s="72" t="s">
        <v>318</v>
      </c>
      <c r="C502" s="73">
        <v>10000</v>
      </c>
    </row>
    <row r="503" spans="1:3">
      <c r="A503" s="55">
        <v>31222105</v>
      </c>
      <c r="B503" s="72" t="s">
        <v>319</v>
      </c>
      <c r="C503" s="73">
        <v>200000</v>
      </c>
    </row>
    <row r="504" spans="1:3">
      <c r="A504" s="55">
        <v>31222106</v>
      </c>
      <c r="B504" s="72" t="s">
        <v>320</v>
      </c>
      <c r="C504" s="73">
        <v>367196.9</v>
      </c>
    </row>
    <row r="505" spans="1:3">
      <c r="A505" s="55">
        <v>31222110</v>
      </c>
      <c r="B505" s="72" t="s">
        <v>321</v>
      </c>
      <c r="C505" s="73">
        <v>40000</v>
      </c>
    </row>
    <row r="506" spans="1:3">
      <c r="A506" s="55">
        <v>31222300</v>
      </c>
      <c r="B506" s="72" t="s">
        <v>79</v>
      </c>
      <c r="C506" s="73">
        <v>200</v>
      </c>
    </row>
    <row r="507" spans="1:3">
      <c r="A507" s="55">
        <v>31222606</v>
      </c>
      <c r="B507" s="72" t="s">
        <v>322</v>
      </c>
      <c r="C507" s="73">
        <v>6000</v>
      </c>
    </row>
    <row r="508" spans="1:3">
      <c r="A508" s="55">
        <v>31222610</v>
      </c>
      <c r="B508" s="72" t="s">
        <v>323</v>
      </c>
      <c r="C508" s="73">
        <v>4500</v>
      </c>
    </row>
    <row r="509" spans="1:3">
      <c r="A509" s="55">
        <v>31222699</v>
      </c>
      <c r="B509" s="72" t="s">
        <v>324</v>
      </c>
      <c r="C509" s="73">
        <v>83000</v>
      </c>
    </row>
    <row r="510" spans="1:3">
      <c r="A510" s="82"/>
      <c r="B510" s="8" t="s">
        <v>22</v>
      </c>
      <c r="C510" s="59">
        <f>SUM(C494:C509)</f>
        <v>750496.9</v>
      </c>
    </row>
    <row r="511" spans="1:3">
      <c r="A511" s="82"/>
      <c r="B511" s="109"/>
      <c r="C511" s="54"/>
    </row>
    <row r="512" spans="1:3">
      <c r="A512" s="65">
        <v>31262500</v>
      </c>
      <c r="B512" s="66" t="s">
        <v>325</v>
      </c>
      <c r="C512" s="67">
        <v>30000</v>
      </c>
    </row>
    <row r="513" spans="1:3">
      <c r="A513" s="65">
        <v>31262501</v>
      </c>
      <c r="B513" s="66" t="s">
        <v>326</v>
      </c>
      <c r="C513" s="67">
        <v>20000</v>
      </c>
    </row>
    <row r="514" spans="1:3">
      <c r="A514" s="65">
        <v>31262700</v>
      </c>
      <c r="B514" s="66" t="s">
        <v>327</v>
      </c>
      <c r="C514" s="67">
        <v>200000</v>
      </c>
    </row>
    <row r="515" spans="1:3">
      <c r="A515" s="68"/>
      <c r="B515" s="69" t="s">
        <v>22</v>
      </c>
      <c r="C515" s="70">
        <f>SUM(C512:C514)</f>
        <v>250000</v>
      </c>
    </row>
    <row r="516" spans="1:3">
      <c r="A516" s="79"/>
      <c r="B516" s="79"/>
      <c r="C516" s="80"/>
    </row>
    <row r="517" spans="1:3">
      <c r="A517" s="13"/>
      <c r="B517" s="53" t="s">
        <v>328</v>
      </c>
      <c r="C517" s="54"/>
    </row>
    <row r="518" spans="1:3">
      <c r="A518" s="76"/>
      <c r="B518" s="77"/>
      <c r="C518" s="81"/>
    </row>
    <row r="519" spans="1:3">
      <c r="A519" s="60">
        <v>31348900</v>
      </c>
      <c r="B519" s="61" t="s">
        <v>329</v>
      </c>
      <c r="C519" s="137">
        <v>54000</v>
      </c>
    </row>
    <row r="520" spans="1:3">
      <c r="A520" s="75"/>
      <c r="B520" s="63" t="s">
        <v>22</v>
      </c>
      <c r="C520" s="64">
        <f>SUM(C519)</f>
        <v>54000</v>
      </c>
    </row>
    <row r="521" spans="1:3">
      <c r="A521" s="79"/>
      <c r="B521" s="79"/>
      <c r="C521" s="80"/>
    </row>
    <row r="522" spans="1:3">
      <c r="A522" s="13"/>
      <c r="B522" s="53" t="s">
        <v>330</v>
      </c>
      <c r="C522" s="54"/>
    </row>
    <row r="523" spans="1:3">
      <c r="A523" s="79"/>
      <c r="B523" s="79"/>
      <c r="C523" s="80"/>
    </row>
    <row r="524" spans="1:3">
      <c r="A524" s="60">
        <v>32648100</v>
      </c>
      <c r="B524" s="61" t="s">
        <v>331</v>
      </c>
      <c r="C524" s="137">
        <v>341000</v>
      </c>
    </row>
    <row r="525" spans="1:3">
      <c r="A525" s="60">
        <v>32648101</v>
      </c>
      <c r="B525" s="61" t="s">
        <v>332</v>
      </c>
      <c r="C525" s="137">
        <v>197317.16</v>
      </c>
    </row>
    <row r="526" spans="1:3">
      <c r="A526" s="60">
        <v>32648102</v>
      </c>
      <c r="B526" s="61" t="s">
        <v>333</v>
      </c>
      <c r="C526" s="137">
        <v>198000</v>
      </c>
    </row>
    <row r="527" spans="1:3">
      <c r="A527" s="60">
        <v>32648103</v>
      </c>
      <c r="B527" s="61" t="s">
        <v>334</v>
      </c>
      <c r="C527" s="137">
        <v>9000</v>
      </c>
    </row>
    <row r="528" spans="1:3">
      <c r="A528" s="60">
        <v>32648900</v>
      </c>
      <c r="B528" s="61" t="s">
        <v>335</v>
      </c>
      <c r="C528" s="137">
        <v>2500</v>
      </c>
    </row>
    <row r="529" spans="1:3">
      <c r="A529" s="60">
        <v>32648901</v>
      </c>
      <c r="B529" s="61" t="s">
        <v>336</v>
      </c>
      <c r="C529" s="137">
        <v>6000</v>
      </c>
    </row>
    <row r="530" spans="1:3">
      <c r="A530" s="60">
        <v>32648903</v>
      </c>
      <c r="B530" s="61" t="s">
        <v>337</v>
      </c>
      <c r="C530" s="137">
        <v>5000</v>
      </c>
    </row>
    <row r="531" spans="1:3">
      <c r="A531" s="75"/>
      <c r="B531" s="63" t="s">
        <v>22</v>
      </c>
      <c r="C531" s="64">
        <f>SUM(C524:C530)</f>
        <v>758817.16</v>
      </c>
    </row>
    <row r="532" spans="1:3">
      <c r="A532" s="79"/>
      <c r="B532" s="79"/>
      <c r="C532" s="80"/>
    </row>
    <row r="533" spans="1:3">
      <c r="A533" s="13"/>
      <c r="B533" s="53" t="s">
        <v>338</v>
      </c>
      <c r="C533" s="54"/>
    </row>
    <row r="534" spans="1:3">
      <c r="A534" s="79"/>
      <c r="B534" s="79"/>
      <c r="C534" s="80"/>
    </row>
    <row r="535" spans="1:3">
      <c r="A535" s="55">
        <v>32822001</v>
      </c>
      <c r="B535" s="72" t="s">
        <v>339</v>
      </c>
      <c r="C535" s="73">
        <v>6000</v>
      </c>
    </row>
    <row r="536" spans="1:3">
      <c r="A536" s="55">
        <v>32822603</v>
      </c>
      <c r="B536" s="72" t="s">
        <v>340</v>
      </c>
      <c r="C536" s="73">
        <v>500</v>
      </c>
    </row>
    <row r="537" spans="1:3">
      <c r="A537" s="55">
        <v>32822606</v>
      </c>
      <c r="B537" s="72" t="s">
        <v>341</v>
      </c>
      <c r="C537" s="73">
        <v>10000</v>
      </c>
    </row>
    <row r="538" spans="1:3">
      <c r="A538" s="55">
        <v>32822608</v>
      </c>
      <c r="B538" s="72" t="s">
        <v>342</v>
      </c>
      <c r="C538" s="73">
        <v>35000</v>
      </c>
    </row>
    <row r="539" spans="1:3">
      <c r="A539" s="55">
        <v>32822699</v>
      </c>
      <c r="B539" s="72" t="s">
        <v>20</v>
      </c>
      <c r="C539" s="73">
        <v>1500</v>
      </c>
    </row>
    <row r="540" spans="1:3">
      <c r="A540" s="55">
        <v>32822706</v>
      </c>
      <c r="B540" s="72" t="s">
        <v>343</v>
      </c>
      <c r="C540" s="73">
        <v>1500</v>
      </c>
    </row>
    <row r="541" spans="1:3">
      <c r="A541" s="55">
        <v>32825000</v>
      </c>
      <c r="B541" s="72" t="s">
        <v>344</v>
      </c>
      <c r="C541" s="73">
        <v>25000</v>
      </c>
    </row>
    <row r="542" spans="1:3">
      <c r="A542" s="55"/>
      <c r="B542" s="8" t="s">
        <v>22</v>
      </c>
      <c r="C542" s="81">
        <f>SUM(C535:C541)</f>
        <v>79500</v>
      </c>
    </row>
    <row r="543" spans="1:3">
      <c r="A543" s="55"/>
      <c r="B543" s="109"/>
      <c r="C543" s="73"/>
    </row>
    <row r="544" spans="1:3">
      <c r="A544" s="60">
        <v>32841000</v>
      </c>
      <c r="B544" s="138" t="s">
        <v>345</v>
      </c>
      <c r="C544" s="139">
        <v>1200000</v>
      </c>
    </row>
    <row r="545" spans="1:3">
      <c r="A545" s="60">
        <v>32842400</v>
      </c>
      <c r="B545" s="61" t="s">
        <v>346</v>
      </c>
      <c r="C545" s="74">
        <v>210000</v>
      </c>
    </row>
    <row r="546" spans="1:3">
      <c r="A546" s="60">
        <v>32845391</v>
      </c>
      <c r="B546" s="61" t="s">
        <v>347</v>
      </c>
      <c r="C546" s="74">
        <v>11250</v>
      </c>
    </row>
    <row r="547" spans="1:3">
      <c r="A547" s="60">
        <v>32845392</v>
      </c>
      <c r="B547" s="61" t="s">
        <v>348</v>
      </c>
      <c r="C547" s="74">
        <v>26000</v>
      </c>
    </row>
    <row r="548" spans="1:3">
      <c r="A548" s="60">
        <v>32845393</v>
      </c>
      <c r="B548" s="61" t="s">
        <v>349</v>
      </c>
      <c r="C548" s="74">
        <v>150000</v>
      </c>
    </row>
    <row r="549" spans="1:3">
      <c r="A549" s="60">
        <v>32848903</v>
      </c>
      <c r="B549" s="61" t="s">
        <v>350</v>
      </c>
      <c r="C549" s="74">
        <v>8000</v>
      </c>
    </row>
    <row r="550" spans="1:3">
      <c r="A550" s="60">
        <v>32848904</v>
      </c>
      <c r="B550" s="61" t="s">
        <v>351</v>
      </c>
      <c r="C550" s="74">
        <v>800</v>
      </c>
    </row>
    <row r="551" spans="1:3">
      <c r="A551" s="75"/>
      <c r="B551" s="63" t="s">
        <v>22</v>
      </c>
      <c r="C551" s="64">
        <f>SUM(C544:C550)</f>
        <v>1606050</v>
      </c>
    </row>
    <row r="552" spans="1:3">
      <c r="A552" s="79"/>
      <c r="B552" s="79"/>
      <c r="C552" s="80"/>
    </row>
    <row r="553" spans="1:3">
      <c r="A553" s="65">
        <v>32862501</v>
      </c>
      <c r="B553" s="66" t="s">
        <v>326</v>
      </c>
      <c r="C553" s="67">
        <v>2000</v>
      </c>
    </row>
    <row r="554" spans="1:3">
      <c r="A554" s="65">
        <v>32862600</v>
      </c>
      <c r="B554" s="66" t="s">
        <v>352</v>
      </c>
      <c r="C554" s="67">
        <v>1000</v>
      </c>
    </row>
    <row r="555" spans="1:3">
      <c r="A555" s="65">
        <v>32862701</v>
      </c>
      <c r="B555" s="66" t="s">
        <v>353</v>
      </c>
      <c r="C555" s="67">
        <v>3000</v>
      </c>
    </row>
    <row r="556" spans="1:3">
      <c r="A556" s="65">
        <v>32862702</v>
      </c>
      <c r="B556" s="66" t="s">
        <v>354</v>
      </c>
      <c r="C556" s="67">
        <f>600000-250000</f>
        <v>350000</v>
      </c>
    </row>
    <row r="557" spans="1:3">
      <c r="A557" s="68"/>
      <c r="B557" s="69" t="s">
        <v>22</v>
      </c>
      <c r="C557" s="70">
        <f>SUM(C553:C556)</f>
        <v>356000</v>
      </c>
    </row>
    <row r="558" spans="1:3">
      <c r="A558" s="79"/>
      <c r="B558" s="8"/>
      <c r="C558" s="78"/>
    </row>
    <row r="559" spans="1:3">
      <c r="A559" s="13"/>
      <c r="B559" s="53" t="s">
        <v>355</v>
      </c>
      <c r="C559" s="54"/>
    </row>
    <row r="560" spans="1:3">
      <c r="A560" s="79"/>
      <c r="B560" s="8"/>
      <c r="C560" s="78"/>
    </row>
    <row r="561" spans="1:3">
      <c r="A561" s="83">
        <v>33012000</v>
      </c>
      <c r="B561" s="84" t="s">
        <v>49</v>
      </c>
      <c r="C561" s="85">
        <v>32011.47</v>
      </c>
    </row>
    <row r="562" spans="1:3">
      <c r="A562" s="83">
        <v>33012001</v>
      </c>
      <c r="B562" s="84" t="s">
        <v>50</v>
      </c>
      <c r="C562" s="85">
        <v>69798.649999999994</v>
      </c>
    </row>
    <row r="563" spans="1:3">
      <c r="A563" s="83">
        <v>33012004</v>
      </c>
      <c r="B563" s="84" t="s">
        <v>72</v>
      </c>
      <c r="C563" s="85">
        <f>26693.96-8702.19</f>
        <v>17991.769999999997</v>
      </c>
    </row>
    <row r="564" spans="1:3">
      <c r="A564" s="83">
        <v>33012006</v>
      </c>
      <c r="B564" s="84" t="s">
        <v>53</v>
      </c>
      <c r="C564" s="85">
        <v>33033.769999999997</v>
      </c>
    </row>
    <row r="565" spans="1:3">
      <c r="A565" s="83">
        <v>33012100</v>
      </c>
      <c r="B565" s="84" t="s">
        <v>54</v>
      </c>
      <c r="C565" s="85">
        <f>81145.01-5573.89</f>
        <v>75571.12</v>
      </c>
    </row>
    <row r="566" spans="1:3">
      <c r="A566" s="83">
        <v>33012101</v>
      </c>
      <c r="B566" s="84" t="s">
        <v>55</v>
      </c>
      <c r="C566" s="85">
        <f>101054.02-6832</f>
        <v>94222.02</v>
      </c>
    </row>
    <row r="567" spans="1:3">
      <c r="A567" s="83">
        <v>33012103</v>
      </c>
      <c r="B567" s="84" t="s">
        <v>56</v>
      </c>
      <c r="C567" s="85">
        <f>78959.78-3200.98</f>
        <v>75758.8</v>
      </c>
    </row>
    <row r="568" spans="1:3">
      <c r="A568" s="83">
        <v>33013000</v>
      </c>
      <c r="B568" s="84" t="s">
        <v>111</v>
      </c>
      <c r="C568" s="85">
        <f>176451.74-4351.09-4351.09</f>
        <v>167749.56</v>
      </c>
    </row>
    <row r="569" spans="1:3">
      <c r="A569" s="83">
        <v>33013002</v>
      </c>
      <c r="B569" s="84" t="s">
        <v>112</v>
      </c>
      <c r="C569" s="85">
        <f>260791.95-6943.91-6943.91</f>
        <v>246904.13</v>
      </c>
    </row>
    <row r="570" spans="1:3">
      <c r="A570" s="83">
        <v>33015000</v>
      </c>
      <c r="B570" s="84" t="s">
        <v>57</v>
      </c>
      <c r="C570" s="85">
        <v>4588.3599999999997</v>
      </c>
    </row>
    <row r="571" spans="1:3">
      <c r="A571" s="83">
        <v>33016000</v>
      </c>
      <c r="B571" s="84" t="s">
        <v>58</v>
      </c>
      <c r="C571" s="85">
        <f>258658.49-93.64-93.64-187.28</f>
        <v>258283.92999999996</v>
      </c>
    </row>
    <row r="572" spans="1:3">
      <c r="A572" s="84"/>
      <c r="B572" s="11" t="s">
        <v>22</v>
      </c>
      <c r="C572" s="94">
        <f>SUM(C561:C571)</f>
        <v>1075913.5799999998</v>
      </c>
    </row>
    <row r="573" spans="1:3">
      <c r="A573" s="79"/>
      <c r="B573" s="8"/>
      <c r="C573" s="78"/>
    </row>
    <row r="574" spans="1:3">
      <c r="A574" s="55">
        <v>33022000</v>
      </c>
      <c r="B574" s="72" t="s">
        <v>356</v>
      </c>
      <c r="C574" s="73">
        <v>1000</v>
      </c>
    </row>
    <row r="575" spans="1:3">
      <c r="A575" s="55">
        <v>33022001</v>
      </c>
      <c r="B575" s="72" t="s">
        <v>123</v>
      </c>
      <c r="C575" s="73">
        <v>4000</v>
      </c>
    </row>
    <row r="576" spans="1:3">
      <c r="A576" s="55">
        <v>33022003</v>
      </c>
      <c r="B576" s="72" t="s">
        <v>357</v>
      </c>
      <c r="C576" s="73">
        <v>3000</v>
      </c>
    </row>
    <row r="577" spans="1:3">
      <c r="A577" s="55">
        <v>33022300</v>
      </c>
      <c r="B577" s="72" t="s">
        <v>79</v>
      </c>
      <c r="C577" s="73">
        <v>3000</v>
      </c>
    </row>
    <row r="578" spans="1:3">
      <c r="A578" s="55">
        <v>33022602</v>
      </c>
      <c r="B578" s="72" t="s">
        <v>358</v>
      </c>
      <c r="C578" s="73">
        <v>15000</v>
      </c>
    </row>
    <row r="579" spans="1:3">
      <c r="A579" s="55">
        <v>33022603</v>
      </c>
      <c r="B579" s="72" t="s">
        <v>291</v>
      </c>
      <c r="C579" s="73">
        <v>1500</v>
      </c>
    </row>
    <row r="580" spans="1:3">
      <c r="A580" s="55">
        <v>33022699</v>
      </c>
      <c r="B580" s="72" t="s">
        <v>359</v>
      </c>
      <c r="C580" s="73">
        <v>10000</v>
      </c>
    </row>
    <row r="581" spans="1:3">
      <c r="A581" s="55">
        <v>33022706</v>
      </c>
      <c r="B581" s="72" t="s">
        <v>360</v>
      </c>
      <c r="C581" s="73">
        <v>25000</v>
      </c>
    </row>
    <row r="582" spans="1:3">
      <c r="A582" s="79"/>
      <c r="B582" s="8" t="s">
        <v>22</v>
      </c>
      <c r="C582" s="81">
        <f>SUM(C574:C581)</f>
        <v>62500</v>
      </c>
    </row>
    <row r="583" spans="1:3">
      <c r="A583" s="79"/>
      <c r="B583" s="8"/>
      <c r="C583" s="78"/>
    </row>
    <row r="584" spans="1:3">
      <c r="A584" s="13"/>
      <c r="B584" s="53" t="s">
        <v>361</v>
      </c>
      <c r="C584" s="54"/>
    </row>
    <row r="585" spans="1:3">
      <c r="A585" s="79"/>
      <c r="B585" s="8"/>
      <c r="C585" s="78"/>
    </row>
    <row r="586" spans="1:3">
      <c r="A586" s="55">
        <v>33222000</v>
      </c>
      <c r="B586" s="72" t="s">
        <v>315</v>
      </c>
      <c r="C586" s="73">
        <v>600</v>
      </c>
    </row>
    <row r="587" spans="1:3">
      <c r="A587" s="55">
        <v>33222001</v>
      </c>
      <c r="B587" s="72" t="s">
        <v>362</v>
      </c>
      <c r="C587" s="73">
        <v>5890</v>
      </c>
    </row>
    <row r="588" spans="1:3">
      <c r="A588" s="55">
        <v>33222107</v>
      </c>
      <c r="B588" s="72" t="s">
        <v>363</v>
      </c>
      <c r="C588" s="73">
        <v>1000</v>
      </c>
    </row>
    <row r="589" spans="1:3">
      <c r="A589" s="79"/>
      <c r="B589" s="8" t="s">
        <v>22</v>
      </c>
      <c r="C589" s="81">
        <f>SUM(C586:C588)</f>
        <v>7490</v>
      </c>
    </row>
    <row r="590" spans="1:3">
      <c r="A590" s="79"/>
      <c r="B590" s="8"/>
      <c r="C590" s="81"/>
    </row>
    <row r="591" spans="1:3">
      <c r="A591" s="60">
        <v>33246201</v>
      </c>
      <c r="B591" s="61" t="s">
        <v>364</v>
      </c>
      <c r="C591" s="74">
        <v>40000</v>
      </c>
    </row>
    <row r="592" spans="1:3">
      <c r="A592" s="60">
        <v>33248900</v>
      </c>
      <c r="B592" s="61" t="s">
        <v>365</v>
      </c>
      <c r="C592" s="74">
        <f>20000+20000</f>
        <v>40000</v>
      </c>
    </row>
    <row r="593" spans="1:3">
      <c r="A593" s="75"/>
      <c r="B593" s="63" t="s">
        <v>22</v>
      </c>
      <c r="C593" s="64">
        <f>SUM(C591:C592)</f>
        <v>80000</v>
      </c>
    </row>
    <row r="594" spans="1:3">
      <c r="A594" s="79"/>
      <c r="B594" s="8"/>
      <c r="C594" s="78"/>
    </row>
    <row r="595" spans="1:3">
      <c r="A595" s="65">
        <v>33262700</v>
      </c>
      <c r="B595" s="66" t="s">
        <v>366</v>
      </c>
      <c r="C595" s="67">
        <v>50000</v>
      </c>
    </row>
    <row r="596" spans="1:3">
      <c r="A596" s="68"/>
      <c r="B596" s="69" t="s">
        <v>22</v>
      </c>
      <c r="C596" s="70">
        <f>SUM(C595)</f>
        <v>50000</v>
      </c>
    </row>
    <row r="597" spans="1:3">
      <c r="A597" s="79"/>
      <c r="B597" s="8"/>
      <c r="C597" s="78"/>
    </row>
    <row r="598" spans="1:3">
      <c r="A598" s="13"/>
      <c r="B598" s="53" t="s">
        <v>367</v>
      </c>
      <c r="C598" s="54"/>
    </row>
    <row r="599" spans="1:3">
      <c r="A599" s="79"/>
      <c r="B599" s="8"/>
      <c r="C599" s="78"/>
    </row>
    <row r="600" spans="1:3">
      <c r="A600" s="55">
        <v>33322104</v>
      </c>
      <c r="B600" s="72" t="s">
        <v>368</v>
      </c>
      <c r="C600" s="73">
        <v>1900</v>
      </c>
    </row>
    <row r="601" spans="1:3">
      <c r="A601" s="55">
        <v>33322699</v>
      </c>
      <c r="B601" s="72" t="s">
        <v>369</v>
      </c>
      <c r="C601" s="73">
        <v>6000</v>
      </c>
    </row>
    <row r="602" spans="1:3">
      <c r="A602" s="55">
        <v>33322706</v>
      </c>
      <c r="B602" s="72" t="s">
        <v>82</v>
      </c>
      <c r="C602" s="73">
        <v>4000</v>
      </c>
    </row>
    <row r="603" spans="1:3">
      <c r="A603" s="55">
        <v>33322709</v>
      </c>
      <c r="B603" s="72" t="s">
        <v>370</v>
      </c>
      <c r="C603" s="73">
        <v>10200</v>
      </c>
    </row>
    <row r="604" spans="1:3">
      <c r="A604" s="79"/>
      <c r="B604" s="8" t="s">
        <v>22</v>
      </c>
      <c r="C604" s="81">
        <f>SUM(C600:C603)</f>
        <v>22100</v>
      </c>
    </row>
    <row r="605" spans="1:3">
      <c r="A605" s="79"/>
      <c r="B605" s="8"/>
      <c r="C605" s="78"/>
    </row>
    <row r="606" spans="1:3">
      <c r="A606" s="60">
        <v>33348901</v>
      </c>
      <c r="B606" s="61" t="s">
        <v>371</v>
      </c>
      <c r="C606" s="74">
        <v>4000</v>
      </c>
    </row>
    <row r="607" spans="1:3">
      <c r="A607" s="75"/>
      <c r="B607" s="63" t="s">
        <v>22</v>
      </c>
      <c r="C607" s="64">
        <f>SUM(C606:C606)</f>
        <v>4000</v>
      </c>
    </row>
    <row r="608" spans="1:3">
      <c r="A608" s="76"/>
      <c r="B608" s="77"/>
      <c r="C608" s="81"/>
    </row>
    <row r="609" spans="1:3">
      <c r="A609" s="140">
        <v>33362500</v>
      </c>
      <c r="B609" s="141" t="s">
        <v>372</v>
      </c>
      <c r="C609" s="142">
        <v>2000</v>
      </c>
    </row>
    <row r="610" spans="1:3">
      <c r="A610" s="143">
        <v>33362600</v>
      </c>
      <c r="B610" s="144" t="s">
        <v>373</v>
      </c>
      <c r="C610" s="145">
        <v>2500</v>
      </c>
    </row>
    <row r="611" spans="1:3">
      <c r="A611" s="146">
        <v>33362700</v>
      </c>
      <c r="B611" s="147" t="s">
        <v>374</v>
      </c>
      <c r="C611" s="148">
        <v>20000</v>
      </c>
    </row>
    <row r="612" spans="1:3">
      <c r="A612" s="146">
        <v>33362701</v>
      </c>
      <c r="B612" s="147" t="s">
        <v>375</v>
      </c>
      <c r="C612" s="148">
        <v>390793.8</v>
      </c>
    </row>
    <row r="613" spans="1:3">
      <c r="A613" s="146">
        <v>33362703</v>
      </c>
      <c r="B613" s="147" t="s">
        <v>376</v>
      </c>
      <c r="C613" s="148">
        <v>127220.06</v>
      </c>
    </row>
    <row r="614" spans="1:3">
      <c r="A614" s="146">
        <v>33362704</v>
      </c>
      <c r="B614" s="147" t="s">
        <v>377</v>
      </c>
      <c r="C614" s="148">
        <v>210000</v>
      </c>
    </row>
    <row r="615" spans="1:3">
      <c r="A615" s="146">
        <v>33362706</v>
      </c>
      <c r="B615" s="147" t="s">
        <v>378</v>
      </c>
      <c r="C615" s="148">
        <v>8000</v>
      </c>
    </row>
    <row r="616" spans="1:3">
      <c r="A616" s="68"/>
      <c r="B616" s="69" t="s">
        <v>22</v>
      </c>
      <c r="C616" s="70">
        <f>SUM(C609:C615)</f>
        <v>760513.86</v>
      </c>
    </row>
    <row r="617" spans="1:3">
      <c r="A617" s="79"/>
      <c r="B617" s="8"/>
      <c r="C617" s="78"/>
    </row>
    <row r="618" spans="1:3">
      <c r="A618" s="119">
        <v>33378900</v>
      </c>
      <c r="B618" s="135" t="s">
        <v>379</v>
      </c>
      <c r="C618" s="121">
        <v>60000</v>
      </c>
    </row>
    <row r="619" spans="1:3">
      <c r="A619" s="119">
        <v>33378901</v>
      </c>
      <c r="B619" s="135" t="s">
        <v>380</v>
      </c>
      <c r="C619" s="121">
        <v>150000</v>
      </c>
    </row>
    <row r="620" spans="1:3">
      <c r="A620" s="136"/>
      <c r="B620" s="123" t="s">
        <v>22</v>
      </c>
      <c r="C620" s="124">
        <f>SUM(C618:C619)</f>
        <v>210000</v>
      </c>
    </row>
    <row r="621" spans="1:3">
      <c r="A621" s="79"/>
      <c r="B621" s="8"/>
      <c r="C621" s="78"/>
    </row>
    <row r="622" spans="1:3">
      <c r="A622" s="13"/>
      <c r="B622" s="53" t="s">
        <v>381</v>
      </c>
      <c r="C622" s="54"/>
    </row>
    <row r="623" spans="1:3">
      <c r="A623" s="79"/>
      <c r="B623" s="79"/>
      <c r="C623" s="80"/>
    </row>
    <row r="624" spans="1:3">
      <c r="A624" s="55">
        <v>33422602</v>
      </c>
      <c r="B624" s="72" t="s">
        <v>31</v>
      </c>
      <c r="C624" s="73">
        <v>20000</v>
      </c>
    </row>
    <row r="625" spans="1:3">
      <c r="A625" s="55">
        <v>33422611</v>
      </c>
      <c r="B625" s="72" t="s">
        <v>382</v>
      </c>
      <c r="C625" s="73">
        <v>47000</v>
      </c>
    </row>
    <row r="626" spans="1:3">
      <c r="A626" s="55">
        <v>33422612</v>
      </c>
      <c r="B626" s="72" t="s">
        <v>383</v>
      </c>
      <c r="C626" s="73">
        <v>4000</v>
      </c>
    </row>
    <row r="627" spans="1:3">
      <c r="A627" s="55">
        <v>33422614</v>
      </c>
      <c r="B627" s="72" t="s">
        <v>384</v>
      </c>
      <c r="C627" s="73">
        <v>15000</v>
      </c>
    </row>
    <row r="628" spans="1:3">
      <c r="A628" s="55">
        <v>33422616</v>
      </c>
      <c r="B628" s="72" t="s">
        <v>385</v>
      </c>
      <c r="C628" s="73">
        <v>21000</v>
      </c>
    </row>
    <row r="629" spans="1:3">
      <c r="A629" s="55">
        <v>33422617</v>
      </c>
      <c r="B629" s="72" t="s">
        <v>386</v>
      </c>
      <c r="C629" s="73">
        <v>100000</v>
      </c>
    </row>
    <row r="630" spans="1:3">
      <c r="A630" s="55">
        <v>33422618</v>
      </c>
      <c r="B630" s="72" t="s">
        <v>387</v>
      </c>
      <c r="C630" s="73">
        <v>50000</v>
      </c>
    </row>
    <row r="631" spans="1:3">
      <c r="A631" s="55">
        <v>33422620</v>
      </c>
      <c r="B631" s="72" t="s">
        <v>388</v>
      </c>
      <c r="C631" s="73">
        <v>6000</v>
      </c>
    </row>
    <row r="632" spans="1:3">
      <c r="A632" s="55">
        <v>33422621</v>
      </c>
      <c r="B632" s="72" t="s">
        <v>389</v>
      </c>
      <c r="C632" s="73">
        <v>6000</v>
      </c>
    </row>
    <row r="633" spans="1:3">
      <c r="A633" s="55">
        <v>33422622</v>
      </c>
      <c r="B633" s="72" t="s">
        <v>390</v>
      </c>
      <c r="C633" s="73">
        <v>5600</v>
      </c>
    </row>
    <row r="634" spans="1:3">
      <c r="A634" s="55">
        <v>33422630</v>
      </c>
      <c r="B634" s="72" t="s">
        <v>391</v>
      </c>
      <c r="C634" s="73">
        <v>35000</v>
      </c>
    </row>
    <row r="635" spans="1:3">
      <c r="A635" s="55">
        <v>33422631</v>
      </c>
      <c r="B635" s="72" t="s">
        <v>392</v>
      </c>
      <c r="C635" s="73">
        <v>9000</v>
      </c>
    </row>
    <row r="636" spans="1:3">
      <c r="A636" s="55">
        <v>33422633</v>
      </c>
      <c r="B636" s="72" t="s">
        <v>393</v>
      </c>
      <c r="C636" s="73">
        <v>7500</v>
      </c>
    </row>
    <row r="637" spans="1:3">
      <c r="A637" s="55">
        <v>33422634</v>
      </c>
      <c r="B637" s="72" t="s">
        <v>394</v>
      </c>
      <c r="C637" s="73">
        <v>20000</v>
      </c>
    </row>
    <row r="638" spans="1:3">
      <c r="A638" s="55">
        <v>33422706</v>
      </c>
      <c r="B638" s="72" t="s">
        <v>82</v>
      </c>
      <c r="C638" s="73">
        <v>5500</v>
      </c>
    </row>
    <row r="639" spans="1:3">
      <c r="A639" s="55"/>
      <c r="B639" s="8" t="s">
        <v>22</v>
      </c>
      <c r="C639" s="81">
        <f>SUM(C624:C638)</f>
        <v>351600</v>
      </c>
    </row>
    <row r="640" spans="1:3">
      <c r="A640" s="55"/>
      <c r="B640" s="109"/>
      <c r="C640" s="110"/>
    </row>
    <row r="641" spans="1:3">
      <c r="A641" s="60">
        <v>33446202</v>
      </c>
      <c r="B641" s="61" t="s">
        <v>395</v>
      </c>
      <c r="C641" s="74">
        <v>10000</v>
      </c>
    </row>
    <row r="642" spans="1:3">
      <c r="A642" s="60">
        <v>33446203</v>
      </c>
      <c r="B642" s="61" t="s">
        <v>396</v>
      </c>
      <c r="C642" s="74">
        <v>13000</v>
      </c>
    </row>
    <row r="643" spans="1:3">
      <c r="A643" s="60">
        <v>33446204</v>
      </c>
      <c r="B643" s="61" t="s">
        <v>397</v>
      </c>
      <c r="C643" s="74">
        <v>13000</v>
      </c>
    </row>
    <row r="644" spans="1:3">
      <c r="A644" s="60">
        <v>33446205</v>
      </c>
      <c r="B644" s="61" t="s">
        <v>398</v>
      </c>
      <c r="C644" s="74">
        <v>13000</v>
      </c>
    </row>
    <row r="645" spans="1:3">
      <c r="A645" s="60">
        <v>33446206</v>
      </c>
      <c r="B645" s="61" t="s">
        <v>399</v>
      </c>
      <c r="C645" s="74">
        <v>13000</v>
      </c>
    </row>
    <row r="646" spans="1:3">
      <c r="A646" s="60">
        <v>33446207</v>
      </c>
      <c r="B646" s="61" t="s">
        <v>400</v>
      </c>
      <c r="C646" s="74">
        <v>13000</v>
      </c>
    </row>
    <row r="647" spans="1:3">
      <c r="A647" s="60">
        <v>33446208</v>
      </c>
      <c r="B647" s="61" t="s">
        <v>401</v>
      </c>
      <c r="C647" s="74">
        <v>13000</v>
      </c>
    </row>
    <row r="648" spans="1:3">
      <c r="A648" s="60">
        <v>33446209</v>
      </c>
      <c r="B648" s="61" t="s">
        <v>402</v>
      </c>
      <c r="C648" s="74">
        <v>13000</v>
      </c>
    </row>
    <row r="649" spans="1:3">
      <c r="A649" s="60">
        <v>33446210</v>
      </c>
      <c r="B649" s="61" t="s">
        <v>403</v>
      </c>
      <c r="C649" s="74">
        <v>13000</v>
      </c>
    </row>
    <row r="650" spans="1:3">
      <c r="A650" s="60">
        <v>33446211</v>
      </c>
      <c r="B650" s="61" t="s">
        <v>404</v>
      </c>
      <c r="C650" s="74">
        <v>13000</v>
      </c>
    </row>
    <row r="651" spans="1:3">
      <c r="A651" s="60">
        <v>33446212</v>
      </c>
      <c r="B651" s="61" t="s">
        <v>405</v>
      </c>
      <c r="C651" s="74">
        <v>13000</v>
      </c>
    </row>
    <row r="652" spans="1:3">
      <c r="A652" s="60">
        <v>33446213</v>
      </c>
      <c r="B652" s="61" t="s">
        <v>406</v>
      </c>
      <c r="C652" s="74">
        <v>13000</v>
      </c>
    </row>
    <row r="653" spans="1:3">
      <c r="A653" s="60">
        <v>33446214</v>
      </c>
      <c r="B653" s="61" t="s">
        <v>407</v>
      </c>
      <c r="C653" s="74">
        <v>13000</v>
      </c>
    </row>
    <row r="654" spans="1:3">
      <c r="A654" s="60">
        <v>33446215</v>
      </c>
      <c r="B654" s="61" t="s">
        <v>408</v>
      </c>
      <c r="C654" s="74">
        <v>13000</v>
      </c>
    </row>
    <row r="655" spans="1:3">
      <c r="A655" s="60">
        <v>33446216</v>
      </c>
      <c r="B655" s="61" t="s">
        <v>409</v>
      </c>
      <c r="C655" s="74">
        <v>13000</v>
      </c>
    </row>
    <row r="656" spans="1:3">
      <c r="A656" s="60">
        <v>33446217</v>
      </c>
      <c r="B656" s="61" t="s">
        <v>410</v>
      </c>
      <c r="C656" s="74">
        <v>1000</v>
      </c>
    </row>
    <row r="657" spans="1:3">
      <c r="A657" s="60">
        <v>33446218</v>
      </c>
      <c r="B657" s="61" t="s">
        <v>411</v>
      </c>
      <c r="C657" s="74">
        <v>2000</v>
      </c>
    </row>
    <row r="658" spans="1:3">
      <c r="A658" s="60">
        <v>33446219</v>
      </c>
      <c r="B658" s="61" t="s">
        <v>412</v>
      </c>
      <c r="C658" s="74">
        <v>3000</v>
      </c>
    </row>
    <row r="659" spans="1:3">
      <c r="A659" s="60">
        <v>33446220</v>
      </c>
      <c r="B659" s="61" t="s">
        <v>413</v>
      </c>
      <c r="C659" s="74">
        <v>1500</v>
      </c>
    </row>
    <row r="660" spans="1:3">
      <c r="A660" s="60">
        <v>33446221</v>
      </c>
      <c r="B660" s="61" t="s">
        <v>414</v>
      </c>
      <c r="C660" s="74">
        <v>1000</v>
      </c>
    </row>
    <row r="661" spans="1:3">
      <c r="A661" s="60">
        <v>33446222</v>
      </c>
      <c r="B661" s="61" t="s">
        <v>415</v>
      </c>
      <c r="C661" s="74">
        <v>1000</v>
      </c>
    </row>
    <row r="662" spans="1:3">
      <c r="A662" s="60">
        <v>33446223</v>
      </c>
      <c r="B662" s="61" t="s">
        <v>416</v>
      </c>
      <c r="C662" s="74">
        <v>5000</v>
      </c>
    </row>
    <row r="663" spans="1:3">
      <c r="A663" s="60">
        <v>33446224</v>
      </c>
      <c r="B663" s="61" t="s">
        <v>417</v>
      </c>
      <c r="C663" s="74">
        <v>20000</v>
      </c>
    </row>
    <row r="664" spans="1:3">
      <c r="A664" s="60">
        <v>33448903</v>
      </c>
      <c r="B664" s="61" t="s">
        <v>418</v>
      </c>
      <c r="C664" s="74">
        <v>2500</v>
      </c>
    </row>
    <row r="665" spans="1:3">
      <c r="A665" s="60">
        <v>33448904</v>
      </c>
      <c r="B665" s="61" t="s">
        <v>419</v>
      </c>
      <c r="C665" s="74">
        <v>2500</v>
      </c>
    </row>
    <row r="666" spans="1:3">
      <c r="A666" s="60">
        <v>33448905</v>
      </c>
      <c r="B666" s="61" t="s">
        <v>420</v>
      </c>
      <c r="C666" s="74">
        <v>4500</v>
      </c>
    </row>
    <row r="667" spans="1:3">
      <c r="A667" s="60">
        <v>33448908</v>
      </c>
      <c r="B667" s="61" t="s">
        <v>421</v>
      </c>
      <c r="C667" s="74">
        <v>1200</v>
      </c>
    </row>
    <row r="668" spans="1:3">
      <c r="A668" s="60">
        <v>33448909</v>
      </c>
      <c r="B668" s="61" t="s">
        <v>422</v>
      </c>
      <c r="C668" s="74">
        <v>6875</v>
      </c>
    </row>
    <row r="669" spans="1:3">
      <c r="A669" s="60">
        <v>33448910</v>
      </c>
      <c r="B669" s="61" t="s">
        <v>423</v>
      </c>
      <c r="C669" s="74">
        <v>8000</v>
      </c>
    </row>
    <row r="670" spans="1:3">
      <c r="A670" s="60">
        <v>33448911</v>
      </c>
      <c r="B670" s="61" t="s">
        <v>424</v>
      </c>
      <c r="C670" s="74">
        <v>5000</v>
      </c>
    </row>
    <row r="671" spans="1:3">
      <c r="A671" s="60">
        <v>33448912</v>
      </c>
      <c r="B671" s="61" t="s">
        <v>425</v>
      </c>
      <c r="C671" s="74">
        <v>8000</v>
      </c>
    </row>
    <row r="672" spans="1:3">
      <c r="A672" s="75"/>
      <c r="B672" s="63" t="s">
        <v>22</v>
      </c>
      <c r="C672" s="64">
        <f>SUM(C641:C671)</f>
        <v>265075</v>
      </c>
    </row>
    <row r="673" spans="1:3">
      <c r="A673" s="76"/>
      <c r="B673" s="77"/>
      <c r="C673" s="81"/>
    </row>
    <row r="674" spans="1:3">
      <c r="A674" s="65">
        <v>33464000</v>
      </c>
      <c r="B674" s="66" t="s">
        <v>426</v>
      </c>
      <c r="C674" s="67">
        <v>19300</v>
      </c>
    </row>
    <row r="675" spans="1:3">
      <c r="A675" s="68"/>
      <c r="B675" s="69" t="s">
        <v>22</v>
      </c>
      <c r="C675" s="70">
        <f>SUM(C674:C674)</f>
        <v>19300</v>
      </c>
    </row>
    <row r="676" spans="1:3">
      <c r="A676" s="79"/>
      <c r="B676" s="79"/>
      <c r="C676" s="80"/>
    </row>
    <row r="677" spans="1:3">
      <c r="A677" s="13"/>
      <c r="B677" s="53" t="s">
        <v>427</v>
      </c>
      <c r="C677" s="54"/>
    </row>
    <row r="678" spans="1:3">
      <c r="A678" s="79"/>
      <c r="B678" s="93"/>
      <c r="C678" s="80"/>
    </row>
    <row r="679" spans="1:3">
      <c r="A679" s="55">
        <v>33522611</v>
      </c>
      <c r="B679" s="72" t="s">
        <v>428</v>
      </c>
      <c r="C679" s="73">
        <v>30000</v>
      </c>
    </row>
    <row r="680" spans="1:3">
      <c r="A680" s="55">
        <v>33522612</v>
      </c>
      <c r="B680" s="72" t="s">
        <v>429</v>
      </c>
      <c r="C680" s="73">
        <v>3000</v>
      </c>
    </row>
    <row r="681" spans="1:3">
      <c r="A681" s="55">
        <v>33522613</v>
      </c>
      <c r="B681" s="72" t="s">
        <v>430</v>
      </c>
      <c r="C681" s="73">
        <v>7000</v>
      </c>
    </row>
    <row r="682" spans="1:3">
      <c r="A682" s="55">
        <v>33522614</v>
      </c>
      <c r="B682" s="72" t="s">
        <v>431</v>
      </c>
      <c r="C682" s="73">
        <v>19000</v>
      </c>
    </row>
    <row r="683" spans="1:3">
      <c r="A683" s="55">
        <v>33522615</v>
      </c>
      <c r="B683" s="72" t="s">
        <v>432</v>
      </c>
      <c r="C683" s="73">
        <v>3000</v>
      </c>
    </row>
    <row r="684" spans="1:3">
      <c r="A684" s="55">
        <v>33522616</v>
      </c>
      <c r="B684" s="72" t="s">
        <v>433</v>
      </c>
      <c r="C684" s="73">
        <v>4000</v>
      </c>
    </row>
    <row r="685" spans="1:3">
      <c r="A685" s="55">
        <v>33522617</v>
      </c>
      <c r="B685" s="72" t="s">
        <v>434</v>
      </c>
      <c r="C685" s="73">
        <v>12000</v>
      </c>
    </row>
    <row r="686" spans="1:3">
      <c r="A686" s="55">
        <v>33522619</v>
      </c>
      <c r="B686" s="72" t="s">
        <v>435</v>
      </c>
      <c r="C686" s="73">
        <v>25000</v>
      </c>
    </row>
    <row r="687" spans="1:3">
      <c r="A687" s="55">
        <v>33522620</v>
      </c>
      <c r="B687" s="72" t="s">
        <v>436</v>
      </c>
      <c r="C687" s="73">
        <v>18000</v>
      </c>
    </row>
    <row r="688" spans="1:3">
      <c r="A688" s="55">
        <v>33522621</v>
      </c>
      <c r="B688" s="72" t="s">
        <v>437</v>
      </c>
      <c r="C688" s="73">
        <v>8000</v>
      </c>
    </row>
    <row r="689" spans="1:3">
      <c r="A689" s="55">
        <v>33522622</v>
      </c>
      <c r="B689" s="72" t="s">
        <v>438</v>
      </c>
      <c r="C689" s="73">
        <v>20000</v>
      </c>
    </row>
    <row r="690" spans="1:3">
      <c r="A690" s="55">
        <v>33522623</v>
      </c>
      <c r="B690" s="72" t="s">
        <v>439</v>
      </c>
      <c r="C690" s="73">
        <v>35000</v>
      </c>
    </row>
    <row r="691" spans="1:3">
      <c r="A691" s="55">
        <v>33522624</v>
      </c>
      <c r="B691" s="72" t="s">
        <v>440</v>
      </c>
      <c r="C691" s="73">
        <v>17000</v>
      </c>
    </row>
    <row r="692" spans="1:3">
      <c r="A692" s="55"/>
      <c r="B692" s="8" t="s">
        <v>22</v>
      </c>
      <c r="C692" s="81">
        <f>SUM(C679:C691)</f>
        <v>201000</v>
      </c>
    </row>
    <row r="693" spans="1:3">
      <c r="A693" s="55"/>
      <c r="B693" s="8"/>
      <c r="C693" s="78"/>
    </row>
    <row r="694" spans="1:3">
      <c r="A694" s="60">
        <v>33546200</v>
      </c>
      <c r="B694" s="61" t="s">
        <v>441</v>
      </c>
      <c r="C694" s="74">
        <v>4000</v>
      </c>
    </row>
    <row r="695" spans="1:3">
      <c r="A695" s="60">
        <v>33546201</v>
      </c>
      <c r="B695" s="61" t="s">
        <v>442</v>
      </c>
      <c r="C695" s="74">
        <v>4000</v>
      </c>
    </row>
    <row r="696" spans="1:3">
      <c r="A696" s="60">
        <v>33546202</v>
      </c>
      <c r="B696" s="61" t="s">
        <v>443</v>
      </c>
      <c r="C696" s="74">
        <v>4000</v>
      </c>
    </row>
    <row r="697" spans="1:3">
      <c r="A697" s="60">
        <v>33546203</v>
      </c>
      <c r="B697" s="61" t="s">
        <v>444</v>
      </c>
      <c r="C697" s="74">
        <v>3200</v>
      </c>
    </row>
    <row r="698" spans="1:3">
      <c r="A698" s="60">
        <v>33546204</v>
      </c>
      <c r="B698" s="61" t="s">
        <v>445</v>
      </c>
      <c r="C698" s="74">
        <v>4000</v>
      </c>
    </row>
    <row r="699" spans="1:3">
      <c r="A699" s="60">
        <v>33546205</v>
      </c>
      <c r="B699" s="61" t="s">
        <v>446</v>
      </c>
      <c r="C699" s="74">
        <v>3000</v>
      </c>
    </row>
    <row r="700" spans="1:3">
      <c r="A700" s="60">
        <v>33546206</v>
      </c>
      <c r="B700" s="61" t="s">
        <v>447</v>
      </c>
      <c r="C700" s="74">
        <v>2500</v>
      </c>
    </row>
    <row r="701" spans="1:3">
      <c r="A701" s="60">
        <v>33546207</v>
      </c>
      <c r="B701" s="61" t="s">
        <v>448</v>
      </c>
      <c r="C701" s="74">
        <v>2500</v>
      </c>
    </row>
    <row r="702" spans="1:3">
      <c r="A702" s="60">
        <v>33547901</v>
      </c>
      <c r="B702" s="61" t="s">
        <v>449</v>
      </c>
      <c r="C702" s="74">
        <v>16000</v>
      </c>
    </row>
    <row r="703" spans="1:3">
      <c r="A703" s="60">
        <v>33547902</v>
      </c>
      <c r="B703" s="61" t="s">
        <v>450</v>
      </c>
      <c r="C703" s="74">
        <v>37000</v>
      </c>
    </row>
    <row r="704" spans="1:3">
      <c r="A704" s="60">
        <v>33548900</v>
      </c>
      <c r="B704" s="61" t="s">
        <v>451</v>
      </c>
      <c r="C704" s="74">
        <v>70000</v>
      </c>
    </row>
    <row r="705" spans="1:3">
      <c r="A705" s="60">
        <v>33548901</v>
      </c>
      <c r="B705" s="61" t="s">
        <v>452</v>
      </c>
      <c r="C705" s="74">
        <v>3500</v>
      </c>
    </row>
    <row r="706" spans="1:3">
      <c r="A706" s="60">
        <v>33548902</v>
      </c>
      <c r="B706" s="61" t="s">
        <v>453</v>
      </c>
      <c r="C706" s="74">
        <v>4000</v>
      </c>
    </row>
    <row r="707" spans="1:3">
      <c r="A707" s="60">
        <v>33548903</v>
      </c>
      <c r="B707" s="61" t="s">
        <v>454</v>
      </c>
      <c r="C707" s="74">
        <v>6000</v>
      </c>
    </row>
    <row r="708" spans="1:3">
      <c r="A708" s="60">
        <v>33548910</v>
      </c>
      <c r="B708" s="61" t="s">
        <v>455</v>
      </c>
      <c r="C708" s="74">
        <v>2500</v>
      </c>
    </row>
    <row r="709" spans="1:3">
      <c r="A709" s="60">
        <v>33548911</v>
      </c>
      <c r="B709" s="61" t="s">
        <v>456</v>
      </c>
      <c r="C709" s="74">
        <v>16000</v>
      </c>
    </row>
    <row r="710" spans="1:3">
      <c r="A710" s="60"/>
      <c r="B710" s="63" t="s">
        <v>22</v>
      </c>
      <c r="C710" s="64">
        <f>SUM(C694:C709)</f>
        <v>182200</v>
      </c>
    </row>
    <row r="711" spans="1:3">
      <c r="A711" s="55"/>
      <c r="B711" s="8"/>
      <c r="C711" s="78"/>
    </row>
    <row r="712" spans="1:3">
      <c r="A712" s="13"/>
      <c r="B712" s="53" t="s">
        <v>457</v>
      </c>
      <c r="C712" s="54"/>
    </row>
    <row r="713" spans="1:3">
      <c r="A713" s="55"/>
      <c r="B713" s="8"/>
      <c r="C713" s="78"/>
    </row>
    <row r="714" spans="1:3">
      <c r="A714" s="55">
        <v>33622000</v>
      </c>
      <c r="B714" s="72" t="s">
        <v>315</v>
      </c>
      <c r="C714" s="73">
        <v>1000</v>
      </c>
    </row>
    <row r="715" spans="1:3">
      <c r="A715" s="55">
        <v>33622103</v>
      </c>
      <c r="B715" s="72" t="s">
        <v>458</v>
      </c>
      <c r="C715" s="73">
        <v>200</v>
      </c>
    </row>
    <row r="716" spans="1:3">
      <c r="A716" s="55">
        <v>33622107</v>
      </c>
      <c r="B716" s="72" t="s">
        <v>459</v>
      </c>
      <c r="C716" s="73">
        <v>3000</v>
      </c>
    </row>
    <row r="717" spans="1:3">
      <c r="A717" s="55">
        <v>33622606</v>
      </c>
      <c r="B717" s="72" t="s">
        <v>460</v>
      </c>
      <c r="C717" s="73">
        <v>3000</v>
      </c>
    </row>
    <row r="718" spans="1:3">
      <c r="A718" s="55">
        <v>33622610</v>
      </c>
      <c r="B718" s="72" t="s">
        <v>461</v>
      </c>
      <c r="C718" s="73">
        <v>1515</v>
      </c>
    </row>
    <row r="719" spans="1:3">
      <c r="A719" s="55">
        <v>33622611</v>
      </c>
      <c r="B719" s="72" t="s">
        <v>462</v>
      </c>
      <c r="C719" s="73">
        <v>14000</v>
      </c>
    </row>
    <row r="720" spans="1:3">
      <c r="A720" s="55">
        <v>33622612</v>
      </c>
      <c r="B720" s="72" t="s">
        <v>463</v>
      </c>
      <c r="C720" s="73">
        <v>1500</v>
      </c>
    </row>
    <row r="721" spans="1:3">
      <c r="A721" s="55">
        <v>33622698</v>
      </c>
      <c r="B721" s="72" t="s">
        <v>464</v>
      </c>
      <c r="C721" s="73">
        <v>2000</v>
      </c>
    </row>
    <row r="722" spans="1:3">
      <c r="A722" s="55">
        <v>33622699</v>
      </c>
      <c r="B722" s="72" t="s">
        <v>465</v>
      </c>
      <c r="C722" s="73">
        <v>1000</v>
      </c>
    </row>
    <row r="723" spans="1:3">
      <c r="A723" s="55">
        <v>33622707</v>
      </c>
      <c r="B723" s="72" t="s">
        <v>82</v>
      </c>
      <c r="C723" s="73">
        <v>10000</v>
      </c>
    </row>
    <row r="724" spans="1:3">
      <c r="A724" s="55">
        <v>33622709</v>
      </c>
      <c r="B724" s="72" t="s">
        <v>466</v>
      </c>
      <c r="C724" s="73">
        <v>9000</v>
      </c>
    </row>
    <row r="725" spans="1:3">
      <c r="A725" s="55">
        <v>33622710</v>
      </c>
      <c r="B725" s="72" t="s">
        <v>467</v>
      </c>
      <c r="C725" s="73">
        <v>9000</v>
      </c>
    </row>
    <row r="726" spans="1:3">
      <c r="A726" s="55">
        <v>33622711</v>
      </c>
      <c r="B726" s="72" t="s">
        <v>468</v>
      </c>
      <c r="C726" s="73">
        <v>2000</v>
      </c>
    </row>
    <row r="727" spans="1:3">
      <c r="A727" s="55">
        <v>33622712</v>
      </c>
      <c r="B727" s="72" t="s">
        <v>469</v>
      </c>
      <c r="C727" s="73">
        <v>4000</v>
      </c>
    </row>
    <row r="728" spans="1:3">
      <c r="A728" s="55">
        <v>33622713</v>
      </c>
      <c r="B728" s="72" t="s">
        <v>470</v>
      </c>
      <c r="C728" s="73">
        <v>14000</v>
      </c>
    </row>
    <row r="729" spans="1:3">
      <c r="A729" s="55">
        <v>33622714</v>
      </c>
      <c r="B729" s="72" t="s">
        <v>471</v>
      </c>
      <c r="C729" s="73">
        <v>7500</v>
      </c>
    </row>
    <row r="730" spans="1:3">
      <c r="A730" s="55">
        <v>33622715</v>
      </c>
      <c r="B730" s="72" t="s">
        <v>472</v>
      </c>
      <c r="C730" s="73">
        <v>9000</v>
      </c>
    </row>
    <row r="731" spans="1:3">
      <c r="A731" s="55">
        <v>33622716</v>
      </c>
      <c r="B731" s="72" t="s">
        <v>473</v>
      </c>
      <c r="C731" s="73">
        <v>2000</v>
      </c>
    </row>
    <row r="732" spans="1:3">
      <c r="A732" s="55"/>
      <c r="B732" s="8" t="s">
        <v>22</v>
      </c>
      <c r="C732" s="81">
        <f>SUM(C714:C731)</f>
        <v>93715</v>
      </c>
    </row>
    <row r="733" spans="1:3">
      <c r="A733" s="55"/>
      <c r="B733" s="8"/>
      <c r="C733" s="78"/>
    </row>
    <row r="734" spans="1:3">
      <c r="A734" s="60">
        <v>33645000</v>
      </c>
      <c r="B734" s="61" t="s">
        <v>474</v>
      </c>
      <c r="C734" s="74">
        <v>12000</v>
      </c>
    </row>
    <row r="735" spans="1:3">
      <c r="A735" s="60">
        <v>33648900</v>
      </c>
      <c r="B735" s="61" t="s">
        <v>475</v>
      </c>
      <c r="C735" s="74">
        <v>20000</v>
      </c>
    </row>
    <row r="736" spans="1:3">
      <c r="A736" s="114">
        <v>33648905</v>
      </c>
      <c r="B736" s="115" t="s">
        <v>476</v>
      </c>
      <c r="C736" s="116">
        <v>9400</v>
      </c>
    </row>
    <row r="737" spans="1:3">
      <c r="A737" s="60">
        <v>33648906</v>
      </c>
      <c r="B737" s="61" t="s">
        <v>477</v>
      </c>
      <c r="C737" s="74">
        <v>29163</v>
      </c>
    </row>
    <row r="738" spans="1:3">
      <c r="A738" s="114">
        <v>33648904</v>
      </c>
      <c r="B738" s="115" t="s">
        <v>478</v>
      </c>
      <c r="C738" s="116">
        <v>10000</v>
      </c>
    </row>
    <row r="739" spans="1:3">
      <c r="A739" s="75"/>
      <c r="B739" s="63" t="s">
        <v>22</v>
      </c>
      <c r="C739" s="64">
        <f>SUM(C734:C738)</f>
        <v>80563</v>
      </c>
    </row>
    <row r="740" spans="1:3">
      <c r="A740" s="76"/>
      <c r="B740" s="77"/>
      <c r="C740" s="78"/>
    </row>
    <row r="741" spans="1:3">
      <c r="A741" s="65">
        <v>33662702</v>
      </c>
      <c r="B741" s="66" t="s">
        <v>479</v>
      </c>
      <c r="C741" s="67">
        <v>280221</v>
      </c>
    </row>
    <row r="742" spans="1:3">
      <c r="A742" s="65">
        <v>33662705</v>
      </c>
      <c r="B742" s="66" t="s">
        <v>480</v>
      </c>
      <c r="C742" s="67">
        <f>605682-300000</f>
        <v>305682</v>
      </c>
    </row>
    <row r="743" spans="1:3">
      <c r="A743" s="65">
        <v>33662707</v>
      </c>
      <c r="B743" s="66" t="s">
        <v>481</v>
      </c>
      <c r="C743" s="67">
        <v>6542</v>
      </c>
    </row>
    <row r="744" spans="1:3">
      <c r="A744" s="65">
        <v>33662709</v>
      </c>
      <c r="B744" s="66" t="s">
        <v>482</v>
      </c>
      <c r="C744" s="67">
        <v>25000</v>
      </c>
    </row>
    <row r="745" spans="1:3">
      <c r="A745" s="65">
        <v>33662712</v>
      </c>
      <c r="B745" s="66" t="s">
        <v>483</v>
      </c>
      <c r="C745" s="67">
        <v>275000</v>
      </c>
    </row>
    <row r="746" spans="1:3">
      <c r="A746" s="65">
        <v>33662714</v>
      </c>
      <c r="B746" s="66" t="s">
        <v>484</v>
      </c>
      <c r="C746" s="67">
        <v>17000</v>
      </c>
    </row>
    <row r="747" spans="1:3">
      <c r="A747" s="68"/>
      <c r="B747" s="69" t="s">
        <v>22</v>
      </c>
      <c r="C747" s="70">
        <f>SUM(C741:C746)</f>
        <v>909445</v>
      </c>
    </row>
    <row r="748" spans="1:3">
      <c r="A748" s="76"/>
      <c r="B748" s="77"/>
      <c r="C748" s="78"/>
    </row>
    <row r="749" spans="1:3">
      <c r="A749" s="119">
        <v>33678901</v>
      </c>
      <c r="B749" s="135" t="s">
        <v>485</v>
      </c>
      <c r="C749" s="121">
        <v>90000</v>
      </c>
    </row>
    <row r="750" spans="1:3">
      <c r="A750" s="119">
        <v>33678902</v>
      </c>
      <c r="B750" s="135" t="s">
        <v>486</v>
      </c>
      <c r="C750" s="121">
        <v>600000</v>
      </c>
    </row>
    <row r="751" spans="1:3">
      <c r="A751" s="119">
        <v>33678904</v>
      </c>
      <c r="B751" s="135" t="s">
        <v>487</v>
      </c>
      <c r="C751" s="121">
        <v>20000</v>
      </c>
    </row>
    <row r="752" spans="1:3">
      <c r="A752" s="136"/>
      <c r="B752" s="123" t="s">
        <v>22</v>
      </c>
      <c r="C752" s="124">
        <f>SUM(C749:C751)</f>
        <v>710000</v>
      </c>
    </row>
    <row r="753" spans="1:3">
      <c r="A753" s="76"/>
      <c r="B753" s="77"/>
      <c r="C753" s="78"/>
    </row>
    <row r="754" spans="1:3">
      <c r="A754" s="13"/>
      <c r="B754" s="53" t="s">
        <v>488</v>
      </c>
      <c r="C754" s="54"/>
    </row>
    <row r="755" spans="1:3">
      <c r="A755" s="79"/>
      <c r="B755" s="79"/>
      <c r="C755" s="80"/>
    </row>
    <row r="756" spans="1:3">
      <c r="A756" s="55">
        <v>33822610</v>
      </c>
      <c r="B756" s="72" t="s">
        <v>489</v>
      </c>
      <c r="C756" s="73">
        <v>35000</v>
      </c>
    </row>
    <row r="757" spans="1:3">
      <c r="A757" s="55"/>
      <c r="B757" s="8" t="s">
        <v>22</v>
      </c>
      <c r="C757" s="81">
        <f>SUM(C756)</f>
        <v>35000</v>
      </c>
    </row>
    <row r="758" spans="1:3">
      <c r="A758" s="79"/>
      <c r="B758" s="79"/>
      <c r="C758" s="80"/>
    </row>
    <row r="759" spans="1:3">
      <c r="A759" s="60">
        <v>33846201</v>
      </c>
      <c r="B759" s="61" t="s">
        <v>490</v>
      </c>
      <c r="C759" s="74">
        <v>20000</v>
      </c>
    </row>
    <row r="760" spans="1:3">
      <c r="A760" s="60">
        <v>33846202</v>
      </c>
      <c r="B760" s="61" t="s">
        <v>491</v>
      </c>
      <c r="C760" s="74">
        <v>4000</v>
      </c>
    </row>
    <row r="761" spans="1:3">
      <c r="A761" s="60">
        <v>33846204</v>
      </c>
      <c r="B761" s="61" t="s">
        <v>492</v>
      </c>
      <c r="C761" s="74">
        <v>1500</v>
      </c>
    </row>
    <row r="762" spans="1:3">
      <c r="A762" s="60">
        <v>33846205</v>
      </c>
      <c r="B762" s="61" t="s">
        <v>493</v>
      </c>
      <c r="C762" s="74">
        <v>1500</v>
      </c>
    </row>
    <row r="763" spans="1:3">
      <c r="A763" s="60">
        <v>33846206</v>
      </c>
      <c r="B763" s="61" t="s">
        <v>494</v>
      </c>
      <c r="C763" s="74">
        <v>1500</v>
      </c>
    </row>
    <row r="764" spans="1:3">
      <c r="A764" s="60">
        <v>33846207</v>
      </c>
      <c r="B764" s="61" t="s">
        <v>495</v>
      </c>
      <c r="C764" s="74">
        <v>3500</v>
      </c>
    </row>
    <row r="765" spans="1:3">
      <c r="A765" s="60">
        <v>33846208</v>
      </c>
      <c r="B765" s="61" t="s">
        <v>496</v>
      </c>
      <c r="C765" s="74">
        <v>1500</v>
      </c>
    </row>
    <row r="766" spans="1:3">
      <c r="A766" s="60">
        <v>33846209</v>
      </c>
      <c r="B766" s="61" t="s">
        <v>497</v>
      </c>
      <c r="C766" s="74">
        <v>1500</v>
      </c>
    </row>
    <row r="767" spans="1:3">
      <c r="A767" s="60">
        <v>33846210</v>
      </c>
      <c r="B767" s="61" t="s">
        <v>498</v>
      </c>
      <c r="C767" s="74">
        <v>1000</v>
      </c>
    </row>
    <row r="768" spans="1:3">
      <c r="A768" s="60">
        <v>33846212</v>
      </c>
      <c r="B768" s="61" t="s">
        <v>499</v>
      </c>
      <c r="C768" s="74">
        <v>2000</v>
      </c>
    </row>
    <row r="769" spans="1:3">
      <c r="A769" s="60">
        <v>33846213</v>
      </c>
      <c r="B769" s="61" t="s">
        <v>500</v>
      </c>
      <c r="C769" s="74">
        <v>8000</v>
      </c>
    </row>
    <row r="770" spans="1:3">
      <c r="A770" s="60">
        <v>33846214</v>
      </c>
      <c r="B770" s="61" t="s">
        <v>501</v>
      </c>
      <c r="C770" s="74">
        <v>12000</v>
      </c>
    </row>
    <row r="771" spans="1:3">
      <c r="A771" s="60">
        <v>33846215</v>
      </c>
      <c r="B771" s="61" t="s">
        <v>502</v>
      </c>
      <c r="C771" s="74">
        <v>6000</v>
      </c>
    </row>
    <row r="772" spans="1:3">
      <c r="A772" s="60">
        <v>33846217</v>
      </c>
      <c r="B772" s="61" t="s">
        <v>503</v>
      </c>
      <c r="C772" s="74">
        <v>10000</v>
      </c>
    </row>
    <row r="773" spans="1:3">
      <c r="A773" s="60">
        <v>33846218</v>
      </c>
      <c r="B773" s="61" t="s">
        <v>504</v>
      </c>
      <c r="C773" s="74">
        <v>18000</v>
      </c>
    </row>
    <row r="774" spans="1:3">
      <c r="A774" s="60">
        <v>33848900</v>
      </c>
      <c r="B774" s="61" t="s">
        <v>505</v>
      </c>
      <c r="C774" s="74">
        <v>4000</v>
      </c>
    </row>
    <row r="775" spans="1:3">
      <c r="A775" s="60">
        <v>33848901</v>
      </c>
      <c r="B775" s="61" t="s">
        <v>506</v>
      </c>
      <c r="C775" s="74">
        <v>3000</v>
      </c>
    </row>
    <row r="776" spans="1:3">
      <c r="A776" s="60">
        <v>33848902</v>
      </c>
      <c r="B776" s="61" t="s">
        <v>507</v>
      </c>
      <c r="C776" s="74">
        <v>5000</v>
      </c>
    </row>
    <row r="777" spans="1:3">
      <c r="A777" s="60"/>
      <c r="B777" s="63" t="s">
        <v>22</v>
      </c>
      <c r="C777" s="64">
        <f>SUM(C759:C776)</f>
        <v>104000</v>
      </c>
    </row>
    <row r="778" spans="1:3">
      <c r="A778" s="76"/>
      <c r="B778" s="77"/>
      <c r="C778" s="78"/>
    </row>
    <row r="779" spans="1:3">
      <c r="A779" s="13"/>
      <c r="B779" s="53" t="s">
        <v>508</v>
      </c>
      <c r="C779" s="54"/>
    </row>
    <row r="780" spans="1:3">
      <c r="A780" s="76"/>
      <c r="B780" s="77"/>
      <c r="C780" s="78"/>
    </row>
    <row r="781" spans="1:3">
      <c r="A781" s="55">
        <v>33922000</v>
      </c>
      <c r="B781" s="72" t="s">
        <v>509</v>
      </c>
      <c r="C781" s="73">
        <v>1000</v>
      </c>
    </row>
    <row r="782" spans="1:3">
      <c r="A782" s="55">
        <v>33922001</v>
      </c>
      <c r="B782" s="72" t="s">
        <v>177</v>
      </c>
      <c r="C782" s="73">
        <v>200</v>
      </c>
    </row>
    <row r="783" spans="1:3">
      <c r="A783" s="55">
        <v>33922201</v>
      </c>
      <c r="B783" s="72" t="s">
        <v>510</v>
      </c>
      <c r="C783" s="73">
        <v>100</v>
      </c>
    </row>
    <row r="784" spans="1:3">
      <c r="A784" s="55">
        <v>33922600</v>
      </c>
      <c r="B784" s="72" t="s">
        <v>511</v>
      </c>
      <c r="C784" s="73">
        <v>3500</v>
      </c>
    </row>
    <row r="785" spans="1:3">
      <c r="A785" s="55">
        <v>33922602</v>
      </c>
      <c r="B785" s="72" t="s">
        <v>512</v>
      </c>
      <c r="C785" s="73">
        <v>5500</v>
      </c>
    </row>
    <row r="786" spans="1:3">
      <c r="A786" s="55">
        <v>33922606</v>
      </c>
      <c r="B786" s="72" t="s">
        <v>513</v>
      </c>
      <c r="C786" s="73">
        <v>6000</v>
      </c>
    </row>
    <row r="787" spans="1:3">
      <c r="A787" s="55">
        <v>33922610</v>
      </c>
      <c r="B787" s="72" t="s">
        <v>514</v>
      </c>
      <c r="C787" s="73">
        <v>30000</v>
      </c>
    </row>
    <row r="788" spans="1:3">
      <c r="A788" s="55">
        <v>33922611</v>
      </c>
      <c r="B788" s="72" t="s">
        <v>515</v>
      </c>
      <c r="C788" s="73">
        <v>9000</v>
      </c>
    </row>
    <row r="789" spans="1:3">
      <c r="A789" s="55">
        <v>33922612</v>
      </c>
      <c r="B789" s="72" t="s">
        <v>516</v>
      </c>
      <c r="C789" s="73">
        <f>30000-15000</f>
        <v>15000</v>
      </c>
    </row>
    <row r="790" spans="1:3">
      <c r="A790" s="55">
        <v>33922613</v>
      </c>
      <c r="B790" s="72" t="s">
        <v>517</v>
      </c>
      <c r="C790" s="73">
        <v>12000</v>
      </c>
    </row>
    <row r="791" spans="1:3">
      <c r="A791" s="55">
        <v>33922614</v>
      </c>
      <c r="B791" s="72" t="s">
        <v>518</v>
      </c>
      <c r="C791" s="73">
        <v>1500</v>
      </c>
    </row>
    <row r="792" spans="1:3">
      <c r="A792" s="55">
        <v>33922615</v>
      </c>
      <c r="B792" s="72" t="s">
        <v>519</v>
      </c>
      <c r="C792" s="73">
        <v>9000</v>
      </c>
    </row>
    <row r="793" spans="1:3">
      <c r="A793" s="76"/>
      <c r="B793" s="77" t="s">
        <v>22</v>
      </c>
      <c r="C793" s="81">
        <f>SUM(C781:C792)</f>
        <v>92800</v>
      </c>
    </row>
    <row r="794" spans="1:3">
      <c r="A794" s="149"/>
      <c r="B794" s="150"/>
      <c r="C794" s="151"/>
    </row>
    <row r="795" spans="1:3">
      <c r="A795" s="60">
        <v>33946200</v>
      </c>
      <c r="B795" s="61" t="s">
        <v>520</v>
      </c>
      <c r="C795" s="74">
        <v>30000</v>
      </c>
    </row>
    <row r="796" spans="1:3">
      <c r="A796" s="60">
        <v>33948101</v>
      </c>
      <c r="B796" s="61" t="s">
        <v>521</v>
      </c>
      <c r="C796" s="74">
        <v>25000</v>
      </c>
    </row>
    <row r="797" spans="1:3">
      <c r="A797" s="60">
        <v>33948103</v>
      </c>
      <c r="B797" s="61" t="s">
        <v>522</v>
      </c>
      <c r="C797" s="74">
        <v>3000</v>
      </c>
    </row>
    <row r="798" spans="1:3">
      <c r="A798" s="60">
        <v>33948104</v>
      </c>
      <c r="B798" s="61" t="s">
        <v>523</v>
      </c>
      <c r="C798" s="74">
        <v>12000</v>
      </c>
    </row>
    <row r="799" spans="1:3">
      <c r="A799" s="75"/>
      <c r="B799" s="63" t="s">
        <v>22</v>
      </c>
      <c r="C799" s="64">
        <f>SUM(C795:C798)</f>
        <v>70000</v>
      </c>
    </row>
    <row r="800" spans="1:3">
      <c r="A800" s="79"/>
      <c r="B800" s="79"/>
      <c r="C800" s="80"/>
    </row>
    <row r="801" spans="1:3">
      <c r="A801" s="65">
        <v>33962500</v>
      </c>
      <c r="B801" s="66" t="s">
        <v>524</v>
      </c>
      <c r="C801" s="152">
        <v>2500</v>
      </c>
    </row>
    <row r="802" spans="1:3">
      <c r="A802" s="65">
        <v>33962600</v>
      </c>
      <c r="B802" s="66" t="s">
        <v>352</v>
      </c>
      <c r="C802" s="152">
        <v>1000</v>
      </c>
    </row>
    <row r="803" spans="1:3">
      <c r="A803" s="65">
        <v>33962700</v>
      </c>
      <c r="B803" s="66" t="s">
        <v>525</v>
      </c>
      <c r="C803" s="152">
        <v>25145</v>
      </c>
    </row>
    <row r="804" spans="1:3">
      <c r="A804" s="65">
        <v>33965000</v>
      </c>
      <c r="B804" s="66" t="s">
        <v>526</v>
      </c>
      <c r="C804" s="152">
        <v>4000</v>
      </c>
    </row>
    <row r="805" spans="1:3">
      <c r="A805" s="68"/>
      <c r="B805" s="69" t="s">
        <v>22</v>
      </c>
      <c r="C805" s="70">
        <f>SUM(C801:C804)</f>
        <v>32645</v>
      </c>
    </row>
    <row r="806" spans="1:3">
      <c r="A806" s="79"/>
      <c r="B806" s="79"/>
      <c r="C806" s="80"/>
    </row>
    <row r="807" spans="1:3">
      <c r="A807" s="153">
        <v>33978900</v>
      </c>
      <c r="B807" s="154" t="s">
        <v>527</v>
      </c>
      <c r="C807" s="155">
        <v>2000</v>
      </c>
    </row>
    <row r="808" spans="1:3">
      <c r="A808" s="156"/>
      <c r="B808" s="157" t="s">
        <v>22</v>
      </c>
      <c r="C808" s="158">
        <f>SUM(C807)</f>
        <v>2000</v>
      </c>
    </row>
    <row r="809" spans="1:3">
      <c r="A809" s="79"/>
      <c r="B809" s="79"/>
      <c r="C809" s="80"/>
    </row>
    <row r="810" spans="1:3">
      <c r="A810" s="13"/>
      <c r="B810" s="53" t="s">
        <v>528</v>
      </c>
      <c r="C810" s="54"/>
    </row>
    <row r="811" spans="1:3">
      <c r="A811" s="79"/>
      <c r="B811" s="79"/>
      <c r="C811" s="80"/>
    </row>
    <row r="812" spans="1:3">
      <c r="A812" s="129">
        <v>34012000</v>
      </c>
      <c r="B812" s="159" t="s">
        <v>529</v>
      </c>
      <c r="C812" s="160">
        <v>16005.73</v>
      </c>
    </row>
    <row r="813" spans="1:3">
      <c r="A813" s="129">
        <v>34012004</v>
      </c>
      <c r="B813" s="159" t="s">
        <v>72</v>
      </c>
      <c r="C813" s="160">
        <v>8897.99</v>
      </c>
    </row>
    <row r="814" spans="1:3">
      <c r="A814" s="129">
        <v>34012006</v>
      </c>
      <c r="B814" s="159" t="s">
        <v>530</v>
      </c>
      <c r="C814" s="160">
        <v>16211.25</v>
      </c>
    </row>
    <row r="815" spans="1:3">
      <c r="A815" s="129">
        <v>34012100</v>
      </c>
      <c r="B815" s="159" t="s">
        <v>54</v>
      </c>
      <c r="C815" s="160">
        <v>17900.759999999998</v>
      </c>
    </row>
    <row r="816" spans="1:3">
      <c r="A816" s="129">
        <v>34012101</v>
      </c>
      <c r="B816" s="159" t="s">
        <v>55</v>
      </c>
      <c r="C816" s="160">
        <v>34468.660000000003</v>
      </c>
    </row>
    <row r="817" spans="1:3">
      <c r="A817" s="129">
        <v>34012103</v>
      </c>
      <c r="B817" s="159" t="s">
        <v>280</v>
      </c>
      <c r="C817" s="160">
        <v>15087.62</v>
      </c>
    </row>
    <row r="818" spans="1:3">
      <c r="A818" s="129">
        <v>34013000</v>
      </c>
      <c r="B818" s="159" t="s">
        <v>111</v>
      </c>
      <c r="C818" s="160">
        <f>295908.24-7970.2</f>
        <v>287938.03999999998</v>
      </c>
    </row>
    <row r="819" spans="1:3">
      <c r="A819" s="129">
        <v>34013002</v>
      </c>
      <c r="B819" s="159" t="s">
        <v>175</v>
      </c>
      <c r="C819" s="160">
        <f>460359.22-13147.79</f>
        <v>447211.43</v>
      </c>
    </row>
    <row r="820" spans="1:3">
      <c r="A820" s="129">
        <v>34013100</v>
      </c>
      <c r="B820" s="159" t="s">
        <v>275</v>
      </c>
      <c r="C820" s="160">
        <v>1150.31</v>
      </c>
    </row>
    <row r="821" spans="1:3">
      <c r="A821" s="129">
        <v>34015000</v>
      </c>
      <c r="B821" s="159" t="s">
        <v>57</v>
      </c>
      <c r="C821" s="160">
        <v>4869.28</v>
      </c>
    </row>
    <row r="822" spans="1:3">
      <c r="A822" s="129">
        <v>34016000</v>
      </c>
      <c r="B822" s="159" t="s">
        <v>58</v>
      </c>
      <c r="C822" s="160">
        <f>277863.44-187.28</f>
        <v>277676.15999999997</v>
      </c>
    </row>
    <row r="823" spans="1:3">
      <c r="A823" s="83"/>
      <c r="B823" s="11" t="s">
        <v>22</v>
      </c>
      <c r="C823" s="94">
        <f>SUM(C812:C822)</f>
        <v>1127417.23</v>
      </c>
    </row>
    <row r="824" spans="1:3">
      <c r="A824" s="79"/>
      <c r="B824" s="79"/>
      <c r="C824" s="80"/>
    </row>
    <row r="825" spans="1:3">
      <c r="A825" s="13"/>
      <c r="B825" s="53" t="s">
        <v>528</v>
      </c>
      <c r="C825" s="54"/>
    </row>
    <row r="826" spans="1:3">
      <c r="A826" s="79"/>
      <c r="B826" s="79"/>
      <c r="C826" s="80"/>
    </row>
    <row r="827" spans="1:3">
      <c r="A827" s="55">
        <v>34020201</v>
      </c>
      <c r="B827" s="161" t="s">
        <v>531</v>
      </c>
      <c r="C827" s="162">
        <v>23571.75</v>
      </c>
    </row>
    <row r="828" spans="1:3">
      <c r="A828" s="55">
        <v>34021200</v>
      </c>
      <c r="B828" s="161" t="s">
        <v>532</v>
      </c>
      <c r="C828" s="162">
        <v>42650</v>
      </c>
    </row>
    <row r="829" spans="1:3">
      <c r="A829" s="55">
        <v>34022000</v>
      </c>
      <c r="B829" s="161" t="s">
        <v>533</v>
      </c>
      <c r="C829" s="162">
        <v>1000</v>
      </c>
    </row>
    <row r="830" spans="1:3">
      <c r="A830" s="55">
        <v>34022002</v>
      </c>
      <c r="B830" s="161" t="s">
        <v>534</v>
      </c>
      <c r="C830" s="162">
        <v>1000</v>
      </c>
    </row>
    <row r="831" spans="1:3">
      <c r="A831" s="55">
        <v>34022104</v>
      </c>
      <c r="B831" s="161" t="s">
        <v>126</v>
      </c>
      <c r="C831" s="162">
        <v>3636.36</v>
      </c>
    </row>
    <row r="832" spans="1:3">
      <c r="A832" s="55">
        <v>34022199</v>
      </c>
      <c r="B832" s="161" t="s">
        <v>535</v>
      </c>
      <c r="C832" s="162">
        <v>9000</v>
      </c>
    </row>
    <row r="833" spans="1:3">
      <c r="A833" s="55">
        <v>34022300</v>
      </c>
      <c r="B833" s="161" t="s">
        <v>104</v>
      </c>
      <c r="C833" s="162">
        <v>1000</v>
      </c>
    </row>
    <row r="834" spans="1:3">
      <c r="A834" s="55">
        <v>34022699</v>
      </c>
      <c r="B834" s="161" t="s">
        <v>536</v>
      </c>
      <c r="C834" s="162">
        <v>6000</v>
      </c>
    </row>
    <row r="835" spans="1:3">
      <c r="A835" s="95">
        <v>34022706</v>
      </c>
      <c r="B835" s="161" t="s">
        <v>82</v>
      </c>
      <c r="C835" s="163">
        <v>10000</v>
      </c>
    </row>
    <row r="836" spans="1:3">
      <c r="A836" s="88"/>
      <c r="B836" s="77" t="s">
        <v>22</v>
      </c>
      <c r="C836" s="81">
        <f>SUM(C827:C835)</f>
        <v>97858.11</v>
      </c>
    </row>
    <row r="837" spans="1:3">
      <c r="A837" s="79"/>
      <c r="B837" s="8"/>
      <c r="C837" s="163"/>
    </row>
    <row r="838" spans="1:3">
      <c r="A838" s="13"/>
      <c r="B838" s="53" t="s">
        <v>537</v>
      </c>
      <c r="C838" s="54"/>
    </row>
    <row r="839" spans="1:3">
      <c r="A839" s="79"/>
      <c r="B839" s="8"/>
      <c r="C839" s="163"/>
    </row>
    <row r="840" spans="1:3">
      <c r="A840" s="95">
        <v>34122114</v>
      </c>
      <c r="B840" s="96" t="s">
        <v>538</v>
      </c>
      <c r="C840" s="163">
        <v>23310.79</v>
      </c>
    </row>
    <row r="841" spans="1:3">
      <c r="A841" s="95">
        <v>34122115</v>
      </c>
      <c r="B841" s="96" t="s">
        <v>539</v>
      </c>
      <c r="C841" s="163">
        <v>19620</v>
      </c>
    </row>
    <row r="842" spans="1:3">
      <c r="A842" s="55">
        <v>34122401</v>
      </c>
      <c r="B842" s="72" t="s">
        <v>540</v>
      </c>
      <c r="C842" s="73">
        <v>55604.24</v>
      </c>
    </row>
    <row r="843" spans="1:3">
      <c r="A843" s="55">
        <v>34122500</v>
      </c>
      <c r="B843" s="72" t="s">
        <v>541</v>
      </c>
      <c r="C843" s="73">
        <v>3050</v>
      </c>
    </row>
    <row r="844" spans="1:3">
      <c r="A844" s="55">
        <v>34122502</v>
      </c>
      <c r="B844" s="72" t="s">
        <v>542</v>
      </c>
      <c r="C844" s="73">
        <v>600</v>
      </c>
    </row>
    <row r="845" spans="1:3">
      <c r="A845" s="55">
        <v>34122602</v>
      </c>
      <c r="B845" s="72" t="s">
        <v>543</v>
      </c>
      <c r="C845" s="73">
        <v>12000</v>
      </c>
    </row>
    <row r="846" spans="1:3">
      <c r="A846" s="55">
        <v>34122603</v>
      </c>
      <c r="B846" s="72" t="s">
        <v>544</v>
      </c>
      <c r="C846" s="73">
        <v>425</v>
      </c>
    </row>
    <row r="847" spans="1:3">
      <c r="A847" s="55">
        <v>34122606</v>
      </c>
      <c r="B847" s="72" t="s">
        <v>545</v>
      </c>
      <c r="C847" s="73">
        <v>6000</v>
      </c>
    </row>
    <row r="848" spans="1:3">
      <c r="A848" s="55">
        <v>34122611</v>
      </c>
      <c r="B848" s="72" t="s">
        <v>546</v>
      </c>
      <c r="C848" s="73">
        <v>8000</v>
      </c>
    </row>
    <row r="849" spans="1:3">
      <c r="A849" s="55">
        <v>34122612</v>
      </c>
      <c r="B849" s="72" t="s">
        <v>547</v>
      </c>
      <c r="C849" s="73">
        <v>7800</v>
      </c>
    </row>
    <row r="850" spans="1:3">
      <c r="A850" s="55">
        <v>34122613</v>
      </c>
      <c r="B850" s="72" t="s">
        <v>548</v>
      </c>
      <c r="C850" s="73">
        <v>20280</v>
      </c>
    </row>
    <row r="851" spans="1:3">
      <c r="A851" s="55">
        <v>34122616</v>
      </c>
      <c r="B851" s="72" t="s">
        <v>549</v>
      </c>
      <c r="C851" s="73">
        <v>42000</v>
      </c>
    </row>
    <row r="852" spans="1:3">
      <c r="A852" s="55">
        <v>34122617</v>
      </c>
      <c r="B852" s="72" t="s">
        <v>550</v>
      </c>
      <c r="C852" s="73">
        <v>5738.6</v>
      </c>
    </row>
    <row r="853" spans="1:3">
      <c r="A853" s="55">
        <v>34122619</v>
      </c>
      <c r="B853" s="72" t="s">
        <v>551</v>
      </c>
      <c r="C853" s="73">
        <v>13225</v>
      </c>
    </row>
    <row r="854" spans="1:3">
      <c r="A854" s="55">
        <v>34122621</v>
      </c>
      <c r="B854" s="72" t="s">
        <v>552</v>
      </c>
      <c r="C854" s="73">
        <v>35839.82</v>
      </c>
    </row>
    <row r="855" spans="1:3">
      <c r="A855" s="55">
        <v>34122622</v>
      </c>
      <c r="B855" s="72" t="s">
        <v>553</v>
      </c>
      <c r="C855" s="73">
        <v>6000</v>
      </c>
    </row>
    <row r="856" spans="1:3">
      <c r="A856" s="55">
        <v>34122624</v>
      </c>
      <c r="B856" s="72" t="s">
        <v>554</v>
      </c>
      <c r="C856" s="73">
        <v>39772.720000000001</v>
      </c>
    </row>
    <row r="857" spans="1:3">
      <c r="A857" s="55">
        <v>34122625</v>
      </c>
      <c r="B857" s="72" t="s">
        <v>555</v>
      </c>
      <c r="C857" s="73">
        <v>8000</v>
      </c>
    </row>
    <row r="858" spans="1:3">
      <c r="A858" s="55">
        <v>34122626</v>
      </c>
      <c r="B858" s="72" t="s">
        <v>556</v>
      </c>
      <c r="C858" s="73">
        <v>10000</v>
      </c>
    </row>
    <row r="859" spans="1:3">
      <c r="A859" s="55">
        <v>34122697</v>
      </c>
      <c r="B859" s="72" t="s">
        <v>557</v>
      </c>
      <c r="C859" s="73">
        <v>4000</v>
      </c>
    </row>
    <row r="860" spans="1:3">
      <c r="A860" s="55">
        <v>34122710</v>
      </c>
      <c r="B860" s="72" t="s">
        <v>558</v>
      </c>
      <c r="C860" s="73">
        <v>5970.6</v>
      </c>
    </row>
    <row r="861" spans="1:3">
      <c r="A861" s="55">
        <v>34122711</v>
      </c>
      <c r="B861" s="72" t="s">
        <v>559</v>
      </c>
      <c r="C861" s="73">
        <v>8000</v>
      </c>
    </row>
    <row r="862" spans="1:3">
      <c r="A862" s="55"/>
      <c r="B862" s="8" t="s">
        <v>22</v>
      </c>
      <c r="C862" s="164">
        <f>SUM(C840:C861)</f>
        <v>335236.77</v>
      </c>
    </row>
    <row r="863" spans="1:3">
      <c r="A863" s="55"/>
      <c r="B863" s="103"/>
      <c r="C863" s="110"/>
    </row>
    <row r="864" spans="1:3">
      <c r="A864" s="60">
        <v>34144900</v>
      </c>
      <c r="B864" s="61" t="s">
        <v>560</v>
      </c>
      <c r="C864" s="139">
        <v>450000</v>
      </c>
    </row>
    <row r="865" spans="1:3">
      <c r="A865" s="60">
        <v>34144902</v>
      </c>
      <c r="B865" s="61" t="s">
        <v>561</v>
      </c>
      <c r="C865" s="139">
        <v>52000</v>
      </c>
    </row>
    <row r="866" spans="1:3">
      <c r="A866" s="60">
        <v>34144903</v>
      </c>
      <c r="B866" s="61" t="s">
        <v>562</v>
      </c>
      <c r="C866" s="139">
        <v>40000</v>
      </c>
    </row>
    <row r="867" spans="1:3">
      <c r="A867" s="60">
        <v>34144904</v>
      </c>
      <c r="B867" s="61" t="s">
        <v>563</v>
      </c>
      <c r="C867" s="139">
        <v>120000</v>
      </c>
    </row>
    <row r="868" spans="1:3">
      <c r="A868" s="60">
        <v>34146200</v>
      </c>
      <c r="B868" s="61" t="s">
        <v>564</v>
      </c>
      <c r="C868" s="139">
        <v>360592.14</v>
      </c>
    </row>
    <row r="869" spans="1:3">
      <c r="A869" s="60">
        <v>34146201</v>
      </c>
      <c r="B869" s="61" t="s">
        <v>565</v>
      </c>
      <c r="C869" s="139">
        <v>35000</v>
      </c>
    </row>
    <row r="870" spans="1:3">
      <c r="A870" s="60">
        <v>34146202</v>
      </c>
      <c r="B870" s="61" t="s">
        <v>566</v>
      </c>
      <c r="C870" s="139">
        <v>45730.42</v>
      </c>
    </row>
    <row r="871" spans="1:3">
      <c r="A871" s="60">
        <v>34146203</v>
      </c>
      <c r="B871" s="61" t="s">
        <v>567</v>
      </c>
      <c r="C871" s="139">
        <v>62958.93</v>
      </c>
    </row>
    <row r="872" spans="1:3">
      <c r="A872" s="60">
        <v>34146204</v>
      </c>
      <c r="B872" s="61" t="s">
        <v>568</v>
      </c>
      <c r="C872" s="139">
        <v>30000</v>
      </c>
    </row>
    <row r="873" spans="1:3">
      <c r="A873" s="60">
        <v>34148900</v>
      </c>
      <c r="B873" s="61" t="s">
        <v>569</v>
      </c>
      <c r="C873" s="139">
        <v>350000</v>
      </c>
    </row>
    <row r="874" spans="1:3">
      <c r="A874" s="60">
        <v>34148901</v>
      </c>
      <c r="B874" s="165" t="s">
        <v>570</v>
      </c>
      <c r="C874" s="74">
        <v>8000</v>
      </c>
    </row>
    <row r="875" spans="1:3">
      <c r="A875" s="60">
        <v>34148902</v>
      </c>
      <c r="B875" s="165" t="s">
        <v>571</v>
      </c>
      <c r="C875" s="74">
        <v>15000</v>
      </c>
    </row>
    <row r="876" spans="1:3">
      <c r="A876" s="60">
        <v>34148903</v>
      </c>
      <c r="B876" s="165" t="s">
        <v>572</v>
      </c>
      <c r="C876" s="74">
        <v>2500</v>
      </c>
    </row>
    <row r="877" spans="1:3">
      <c r="A877" s="60">
        <v>34148904</v>
      </c>
      <c r="B877" s="165" t="s">
        <v>573</v>
      </c>
      <c r="C877" s="74">
        <v>52000</v>
      </c>
    </row>
    <row r="878" spans="1:3">
      <c r="A878" s="60">
        <v>34148909</v>
      </c>
      <c r="B878" s="165" t="s">
        <v>574</v>
      </c>
      <c r="C878" s="74">
        <v>60000</v>
      </c>
    </row>
    <row r="879" spans="1:3">
      <c r="A879" s="60">
        <v>34148910</v>
      </c>
      <c r="B879" s="165" t="s">
        <v>575</v>
      </c>
      <c r="C879" s="74">
        <v>6400</v>
      </c>
    </row>
    <row r="880" spans="1:3" ht="150">
      <c r="A880" s="60">
        <v>34148911</v>
      </c>
      <c r="B880" s="166" t="s">
        <v>576</v>
      </c>
      <c r="C880" s="74">
        <v>60000</v>
      </c>
    </row>
    <row r="881" spans="1:3" ht="135">
      <c r="A881" s="60">
        <v>34148916</v>
      </c>
      <c r="B881" s="167" t="s">
        <v>577</v>
      </c>
      <c r="C881" s="74">
        <v>8053</v>
      </c>
    </row>
    <row r="882" spans="1:3" ht="135">
      <c r="A882" s="60">
        <v>34148918</v>
      </c>
      <c r="B882" s="167" t="s">
        <v>578</v>
      </c>
      <c r="C882" s="74">
        <v>2500</v>
      </c>
    </row>
    <row r="883" spans="1:3">
      <c r="A883" s="60">
        <v>34148919</v>
      </c>
      <c r="B883" s="165" t="s">
        <v>579</v>
      </c>
      <c r="C883" s="74">
        <v>30000</v>
      </c>
    </row>
    <row r="884" spans="1:3">
      <c r="A884" s="60">
        <v>34148920</v>
      </c>
      <c r="B884" s="165" t="s">
        <v>580</v>
      </c>
      <c r="C884" s="74">
        <v>6000</v>
      </c>
    </row>
    <row r="885" spans="1:3">
      <c r="A885" s="60">
        <v>34148921</v>
      </c>
      <c r="B885" s="165" t="s">
        <v>581</v>
      </c>
      <c r="C885" s="74">
        <v>45000</v>
      </c>
    </row>
    <row r="886" spans="1:3">
      <c r="A886" s="60">
        <v>34148922</v>
      </c>
      <c r="B886" s="165" t="s">
        <v>582</v>
      </c>
      <c r="C886" s="74">
        <v>23500</v>
      </c>
    </row>
    <row r="887" spans="1:3">
      <c r="A887" s="60">
        <v>34148923</v>
      </c>
      <c r="B887" s="165" t="s">
        <v>583</v>
      </c>
      <c r="C887" s="74">
        <v>14115</v>
      </c>
    </row>
    <row r="888" spans="1:3">
      <c r="A888" s="60">
        <v>34148924</v>
      </c>
      <c r="B888" s="168" t="s">
        <v>584</v>
      </c>
      <c r="C888" s="74">
        <v>4680</v>
      </c>
    </row>
    <row r="889" spans="1:3">
      <c r="A889" s="60">
        <v>34148925</v>
      </c>
      <c r="B889" s="165" t="s">
        <v>585</v>
      </c>
      <c r="C889" s="74">
        <v>4300</v>
      </c>
    </row>
    <row r="890" spans="1:3">
      <c r="A890" s="60">
        <v>34148926</v>
      </c>
      <c r="B890" s="165" t="s">
        <v>586</v>
      </c>
      <c r="C890" s="74">
        <v>4300</v>
      </c>
    </row>
    <row r="891" spans="1:3">
      <c r="A891" s="60">
        <v>34148928</v>
      </c>
      <c r="B891" s="169" t="s">
        <v>587</v>
      </c>
      <c r="C891" s="74">
        <v>8400</v>
      </c>
    </row>
    <row r="892" spans="1:3">
      <c r="A892" s="60">
        <v>34148930</v>
      </c>
      <c r="B892" s="165" t="s">
        <v>588</v>
      </c>
      <c r="C892" s="74">
        <v>13080</v>
      </c>
    </row>
    <row r="893" spans="1:3">
      <c r="A893" s="60">
        <v>34148943</v>
      </c>
      <c r="B893" s="61" t="s">
        <v>589</v>
      </c>
      <c r="C893" s="74">
        <v>1400</v>
      </c>
    </row>
    <row r="894" spans="1:3">
      <c r="A894" s="60">
        <v>34148944</v>
      </c>
      <c r="B894" s="61" t="s">
        <v>590</v>
      </c>
      <c r="C894" s="74">
        <v>20000</v>
      </c>
    </row>
    <row r="895" spans="1:3">
      <c r="A895" s="60">
        <v>34148945</v>
      </c>
      <c r="B895" s="61" t="s">
        <v>591</v>
      </c>
      <c r="C895" s="74">
        <v>3000</v>
      </c>
    </row>
    <row r="896" spans="1:3">
      <c r="A896" s="60">
        <v>34148947</v>
      </c>
      <c r="B896" s="61" t="s">
        <v>592</v>
      </c>
      <c r="C896" s="74">
        <v>12000</v>
      </c>
    </row>
    <row r="897" spans="1:3">
      <c r="A897" s="60">
        <v>34148948</v>
      </c>
      <c r="B897" s="61" t="s">
        <v>593</v>
      </c>
      <c r="C897" s="74">
        <v>3360</v>
      </c>
    </row>
    <row r="898" spans="1:3">
      <c r="A898" s="60">
        <v>34148950</v>
      </c>
      <c r="B898" s="61" t="s">
        <v>594</v>
      </c>
      <c r="C898" s="74">
        <v>60000</v>
      </c>
    </row>
    <row r="899" spans="1:3">
      <c r="A899" s="60">
        <v>34148951</v>
      </c>
      <c r="B899" s="61" t="s">
        <v>595</v>
      </c>
      <c r="C899" s="74">
        <v>30000</v>
      </c>
    </row>
    <row r="900" spans="1:3">
      <c r="A900" s="60">
        <v>34148952</v>
      </c>
      <c r="B900" s="61" t="s">
        <v>596</v>
      </c>
      <c r="C900" s="74">
        <v>6000</v>
      </c>
    </row>
    <row r="901" spans="1:3">
      <c r="A901" s="60">
        <v>34148953</v>
      </c>
      <c r="B901" s="61" t="s">
        <v>597</v>
      </c>
      <c r="C901" s="74">
        <v>2500</v>
      </c>
    </row>
    <row r="902" spans="1:3">
      <c r="A902" s="60">
        <v>34148954</v>
      </c>
      <c r="B902" s="61" t="s">
        <v>598</v>
      </c>
      <c r="C902" s="74">
        <v>5000</v>
      </c>
    </row>
    <row r="903" spans="1:3">
      <c r="A903" s="60">
        <v>34148955</v>
      </c>
      <c r="B903" s="61" t="s">
        <v>599</v>
      </c>
      <c r="C903" s="74">
        <v>5000</v>
      </c>
    </row>
    <row r="904" spans="1:3">
      <c r="A904" s="61">
        <v>34148957</v>
      </c>
      <c r="B904" s="61" t="s">
        <v>600</v>
      </c>
      <c r="C904" s="74">
        <v>5000</v>
      </c>
    </row>
    <row r="905" spans="1:3">
      <c r="A905" s="61">
        <v>34148958</v>
      </c>
      <c r="B905" s="61" t="s">
        <v>601</v>
      </c>
      <c r="C905" s="74">
        <v>65000</v>
      </c>
    </row>
    <row r="906" spans="1:3">
      <c r="A906" s="61">
        <v>34148960</v>
      </c>
      <c r="B906" s="61" t="s">
        <v>602</v>
      </c>
      <c r="C906" s="74">
        <v>15000</v>
      </c>
    </row>
    <row r="907" spans="1:3">
      <c r="A907" s="61">
        <v>34148961</v>
      </c>
      <c r="B907" s="61" t="s">
        <v>603</v>
      </c>
      <c r="C907" s="74">
        <v>10000</v>
      </c>
    </row>
    <row r="908" spans="1:3">
      <c r="A908" s="61">
        <v>34148962</v>
      </c>
      <c r="B908" s="61" t="s">
        <v>604</v>
      </c>
      <c r="C908" s="74">
        <v>10000</v>
      </c>
    </row>
    <row r="909" spans="1:3">
      <c r="A909" s="61">
        <v>34148963</v>
      </c>
      <c r="B909" s="61" t="s">
        <v>605</v>
      </c>
      <c r="C909" s="74">
        <v>7000</v>
      </c>
    </row>
    <row r="910" spans="1:3">
      <c r="A910" s="61">
        <v>34148964</v>
      </c>
      <c r="B910" s="61" t="s">
        <v>606</v>
      </c>
      <c r="C910" s="74">
        <v>3000</v>
      </c>
    </row>
    <row r="911" spans="1:3">
      <c r="A911" s="91"/>
      <c r="B911" s="63" t="s">
        <v>22</v>
      </c>
      <c r="C911" s="170">
        <f>SUM(C864:C910)</f>
        <v>2177369.4900000002</v>
      </c>
    </row>
    <row r="912" spans="1:3">
      <c r="A912" s="117"/>
      <c r="B912" s="171"/>
      <c r="C912" s="172"/>
    </row>
    <row r="913" spans="1:3">
      <c r="A913" s="65">
        <v>34162700</v>
      </c>
      <c r="B913" s="66" t="s">
        <v>607</v>
      </c>
      <c r="C913" s="67">
        <v>100000</v>
      </c>
    </row>
    <row r="914" spans="1:3">
      <c r="A914" s="68"/>
      <c r="B914" s="69" t="s">
        <v>22</v>
      </c>
      <c r="C914" s="70">
        <f>SUM(C913)</f>
        <v>100000</v>
      </c>
    </row>
    <row r="915" spans="1:3">
      <c r="A915" s="79"/>
      <c r="B915" s="79"/>
      <c r="C915" s="80"/>
    </row>
    <row r="916" spans="1:3">
      <c r="A916" s="13"/>
      <c r="B916" s="53" t="s">
        <v>608</v>
      </c>
      <c r="C916" s="54"/>
    </row>
    <row r="917" spans="1:3">
      <c r="A917" s="79"/>
      <c r="B917" s="93"/>
      <c r="C917" s="80"/>
    </row>
    <row r="918" spans="1:3">
      <c r="A918" s="95">
        <v>34220400</v>
      </c>
      <c r="B918" s="95" t="s">
        <v>609</v>
      </c>
      <c r="C918" s="80">
        <v>9000</v>
      </c>
    </row>
    <row r="919" spans="1:3">
      <c r="A919" s="95">
        <v>34221201</v>
      </c>
      <c r="B919" s="95" t="s">
        <v>610</v>
      </c>
      <c r="C919" s="80">
        <v>20480</v>
      </c>
    </row>
    <row r="920" spans="1:3">
      <c r="A920" s="95">
        <v>34221400</v>
      </c>
      <c r="B920" s="95" t="s">
        <v>611</v>
      </c>
      <c r="C920" s="80">
        <v>3000</v>
      </c>
    </row>
    <row r="921" spans="1:3">
      <c r="A921" s="95">
        <v>34222100</v>
      </c>
      <c r="B921" s="95" t="s">
        <v>612</v>
      </c>
      <c r="C921" s="80">
        <v>20000</v>
      </c>
    </row>
    <row r="922" spans="1:3">
      <c r="A922" s="95">
        <v>34222101</v>
      </c>
      <c r="B922" s="95" t="s">
        <v>613</v>
      </c>
      <c r="C922" s="80">
        <v>7000</v>
      </c>
    </row>
    <row r="923" spans="1:3">
      <c r="A923" s="95"/>
      <c r="B923" s="8" t="s">
        <v>22</v>
      </c>
      <c r="C923" s="164">
        <f>SUM(C918:C922)</f>
        <v>59480</v>
      </c>
    </row>
    <row r="924" spans="1:3">
      <c r="A924" s="79"/>
      <c r="B924" s="93"/>
      <c r="C924" s="80"/>
    </row>
    <row r="925" spans="1:3">
      <c r="A925" s="65">
        <v>34262500</v>
      </c>
      <c r="B925" s="66" t="s">
        <v>524</v>
      </c>
      <c r="C925" s="67">
        <v>2000</v>
      </c>
    </row>
    <row r="926" spans="1:3">
      <c r="A926" s="65">
        <v>34262701</v>
      </c>
      <c r="B926" s="66" t="s">
        <v>614</v>
      </c>
      <c r="C926" s="67">
        <v>30000</v>
      </c>
    </row>
    <row r="927" spans="1:3">
      <c r="A927" s="65">
        <v>34262702</v>
      </c>
      <c r="B927" s="66" t="s">
        <v>615</v>
      </c>
      <c r="C927" s="67">
        <v>80000</v>
      </c>
    </row>
    <row r="928" spans="1:3">
      <c r="A928" s="65">
        <v>34263600</v>
      </c>
      <c r="B928" s="66" t="s">
        <v>616</v>
      </c>
      <c r="C928" s="67">
        <v>1000</v>
      </c>
    </row>
    <row r="929" spans="1:3">
      <c r="A929" s="65">
        <v>34264100</v>
      </c>
      <c r="B929" s="66" t="s">
        <v>617</v>
      </c>
      <c r="C929" s="67">
        <v>4000</v>
      </c>
    </row>
    <row r="930" spans="1:3">
      <c r="A930" s="92"/>
      <c r="B930" s="69" t="s">
        <v>22</v>
      </c>
      <c r="C930" s="70">
        <f>SUM(C925:C929)</f>
        <v>117000</v>
      </c>
    </row>
    <row r="931" spans="1:3">
      <c r="A931" s="108"/>
      <c r="B931" s="90"/>
      <c r="C931" s="110"/>
    </row>
    <row r="932" spans="1:3">
      <c r="A932" s="119">
        <v>34276200</v>
      </c>
      <c r="B932" s="135" t="s">
        <v>618</v>
      </c>
      <c r="C932" s="121">
        <v>3000</v>
      </c>
    </row>
    <row r="933" spans="1:3">
      <c r="A933" s="119">
        <v>34276201</v>
      </c>
      <c r="B933" s="135" t="s">
        <v>619</v>
      </c>
      <c r="C933" s="121">
        <v>10000</v>
      </c>
    </row>
    <row r="934" spans="1:3">
      <c r="A934" s="122"/>
      <c r="B934" s="123" t="s">
        <v>22</v>
      </c>
      <c r="C934" s="124">
        <f>SUM(C932:C933)</f>
        <v>13000</v>
      </c>
    </row>
    <row r="935" spans="1:3">
      <c r="A935" s="108"/>
      <c r="B935" s="90"/>
      <c r="C935" s="110"/>
    </row>
    <row r="936" spans="1:3">
      <c r="A936" s="13"/>
      <c r="B936" s="53" t="s">
        <v>620</v>
      </c>
      <c r="C936" s="54"/>
    </row>
    <row r="937" spans="1:3">
      <c r="A937" s="79"/>
      <c r="B937" s="8"/>
      <c r="C937" s="78"/>
    </row>
    <row r="938" spans="1:3">
      <c r="A938" s="83">
        <v>41012000</v>
      </c>
      <c r="B938" s="84" t="s">
        <v>49</v>
      </c>
      <c r="C938" s="85">
        <v>64022.94</v>
      </c>
    </row>
    <row r="939" spans="1:3">
      <c r="A939" s="83">
        <v>41012001</v>
      </c>
      <c r="B939" s="84" t="s">
        <v>50</v>
      </c>
      <c r="C939" s="85">
        <v>181476.49</v>
      </c>
    </row>
    <row r="940" spans="1:3">
      <c r="A940" s="83">
        <v>41012003</v>
      </c>
      <c r="B940" s="84" t="s">
        <v>51</v>
      </c>
      <c r="C940" s="85">
        <v>21179.41</v>
      </c>
    </row>
    <row r="941" spans="1:3">
      <c r="A941" s="83">
        <v>41012004</v>
      </c>
      <c r="B941" s="84" t="s">
        <v>72</v>
      </c>
      <c r="C941" s="85">
        <v>151265.76</v>
      </c>
    </row>
    <row r="942" spans="1:3">
      <c r="A942" s="83">
        <v>41012005</v>
      </c>
      <c r="B942" s="84" t="s">
        <v>621</v>
      </c>
      <c r="C942" s="85">
        <v>16299.06</v>
      </c>
    </row>
    <row r="943" spans="1:3">
      <c r="A943" s="83">
        <v>41012006</v>
      </c>
      <c r="B943" s="84" t="s">
        <v>53</v>
      </c>
      <c r="C943" s="85">
        <v>79415.67</v>
      </c>
    </row>
    <row r="944" spans="1:3">
      <c r="A944" s="83">
        <v>41012100</v>
      </c>
      <c r="B944" s="84" t="s">
        <v>54</v>
      </c>
      <c r="C944" s="85">
        <v>279571.09000000003</v>
      </c>
    </row>
    <row r="945" spans="1:3">
      <c r="A945" s="83">
        <v>41012101</v>
      </c>
      <c r="B945" s="84" t="s">
        <v>55</v>
      </c>
      <c r="C945" s="85">
        <v>350164.08</v>
      </c>
    </row>
    <row r="946" spans="1:3">
      <c r="A946" s="83">
        <v>41012103</v>
      </c>
      <c r="B946" s="84" t="s">
        <v>56</v>
      </c>
      <c r="C946" s="85">
        <v>235496</v>
      </c>
    </row>
    <row r="947" spans="1:3">
      <c r="A947" s="83">
        <v>41013000</v>
      </c>
      <c r="B947" s="84" t="s">
        <v>111</v>
      </c>
      <c r="C947" s="85">
        <v>255907.05</v>
      </c>
    </row>
    <row r="948" spans="1:3">
      <c r="A948" s="83">
        <v>41013002</v>
      </c>
      <c r="B948" s="84" t="s">
        <v>112</v>
      </c>
      <c r="C948" s="85">
        <v>399119.27</v>
      </c>
    </row>
    <row r="949" spans="1:3">
      <c r="A949" s="83">
        <v>41013100</v>
      </c>
      <c r="B949" s="84" t="s">
        <v>113</v>
      </c>
      <c r="C949" s="85">
        <v>76687.5</v>
      </c>
    </row>
    <row r="950" spans="1:3">
      <c r="A950" s="83">
        <v>41015000</v>
      </c>
      <c r="B950" s="84" t="s">
        <v>57</v>
      </c>
      <c r="C950" s="85">
        <v>11236.8</v>
      </c>
    </row>
    <row r="951" spans="1:3">
      <c r="A951" s="83">
        <v>41016000</v>
      </c>
      <c r="B951" s="84" t="s">
        <v>58</v>
      </c>
      <c r="C951" s="85">
        <v>533721.93000000005</v>
      </c>
    </row>
    <row r="952" spans="1:3">
      <c r="A952" s="84"/>
      <c r="B952" s="11" t="s">
        <v>22</v>
      </c>
      <c r="C952" s="86">
        <f>SUM(C938:C951)</f>
        <v>2655563.0500000003</v>
      </c>
    </row>
    <row r="953" spans="1:3">
      <c r="A953" s="79"/>
      <c r="B953" s="8"/>
      <c r="C953" s="80"/>
    </row>
    <row r="954" spans="1:3">
      <c r="A954" s="55">
        <v>41020400</v>
      </c>
      <c r="B954" s="72" t="s">
        <v>622</v>
      </c>
      <c r="C954" s="73">
        <f>5175.6+3211.41</f>
        <v>8387.01</v>
      </c>
    </row>
    <row r="955" spans="1:3">
      <c r="A955" s="55">
        <v>41021400</v>
      </c>
      <c r="B955" s="72" t="s">
        <v>623</v>
      </c>
      <c r="C955" s="73">
        <v>7000</v>
      </c>
    </row>
    <row r="956" spans="1:3">
      <c r="A956" s="55">
        <v>41022000</v>
      </c>
      <c r="B956" s="72" t="s">
        <v>624</v>
      </c>
      <c r="C956" s="73">
        <v>3500</v>
      </c>
    </row>
    <row r="957" spans="1:3">
      <c r="A957" s="55">
        <v>41022001</v>
      </c>
      <c r="B957" s="72" t="s">
        <v>625</v>
      </c>
      <c r="C957" s="73">
        <v>500</v>
      </c>
    </row>
    <row r="958" spans="1:3">
      <c r="A958" s="55">
        <v>41022103</v>
      </c>
      <c r="B958" s="72" t="s">
        <v>626</v>
      </c>
      <c r="C958" s="73">
        <v>7000</v>
      </c>
    </row>
    <row r="959" spans="1:3">
      <c r="A959" s="55">
        <v>41022300</v>
      </c>
      <c r="B959" s="72" t="s">
        <v>79</v>
      </c>
      <c r="C959" s="73">
        <v>1200</v>
      </c>
    </row>
    <row r="960" spans="1:3">
      <c r="A960" s="55">
        <v>41022502</v>
      </c>
      <c r="B960" s="72" t="s">
        <v>290</v>
      </c>
      <c r="C960" s="73">
        <v>2138</v>
      </c>
    </row>
    <row r="961" spans="1:3">
      <c r="A961" s="55">
        <v>41022601</v>
      </c>
      <c r="B961" s="72" t="s">
        <v>627</v>
      </c>
      <c r="C961" s="73">
        <v>500</v>
      </c>
    </row>
    <row r="962" spans="1:3">
      <c r="A962" s="55">
        <v>41022602</v>
      </c>
      <c r="B962" s="72" t="s">
        <v>628</v>
      </c>
      <c r="C962" s="73">
        <v>40000</v>
      </c>
    </row>
    <row r="963" spans="1:3">
      <c r="A963" s="55">
        <v>41022603</v>
      </c>
      <c r="B963" s="72" t="s">
        <v>629</v>
      </c>
      <c r="C963" s="73">
        <v>1000</v>
      </c>
    </row>
    <row r="964" spans="1:3">
      <c r="A964" s="55">
        <v>41022606</v>
      </c>
      <c r="B964" s="72" t="s">
        <v>630</v>
      </c>
      <c r="C964" s="73">
        <v>5000</v>
      </c>
    </row>
    <row r="965" spans="1:3">
      <c r="A965" s="55">
        <v>41022610</v>
      </c>
      <c r="B965" s="72" t="s">
        <v>631</v>
      </c>
      <c r="C965" s="73">
        <v>601</v>
      </c>
    </row>
    <row r="966" spans="1:3">
      <c r="A966" s="55">
        <v>41022611</v>
      </c>
      <c r="B966" s="72" t="s">
        <v>632</v>
      </c>
      <c r="C966" s="73">
        <v>20000</v>
      </c>
    </row>
    <row r="967" spans="1:3">
      <c r="A967" s="55">
        <v>41022612</v>
      </c>
      <c r="B967" s="72" t="s">
        <v>633</v>
      </c>
      <c r="C967" s="73">
        <v>31000</v>
      </c>
    </row>
    <row r="968" spans="1:3">
      <c r="A968" s="55">
        <v>41022699</v>
      </c>
      <c r="B968" s="72" t="s">
        <v>634</v>
      </c>
      <c r="C968" s="73">
        <v>10000</v>
      </c>
    </row>
    <row r="969" spans="1:3">
      <c r="A969" s="55">
        <v>41022706</v>
      </c>
      <c r="B969" s="72" t="s">
        <v>635</v>
      </c>
      <c r="C969" s="73">
        <f>66595+19000</f>
        <v>85595</v>
      </c>
    </row>
    <row r="970" spans="1:3">
      <c r="A970" s="55">
        <v>41022709</v>
      </c>
      <c r="B970" s="72" t="s">
        <v>636</v>
      </c>
      <c r="C970" s="73">
        <v>3153.84</v>
      </c>
    </row>
    <row r="971" spans="1:3">
      <c r="A971" s="79"/>
      <c r="B971" s="8" t="s">
        <v>22</v>
      </c>
      <c r="C971" s="81">
        <f>SUM(C954:C970)</f>
        <v>226574.85</v>
      </c>
    </row>
    <row r="972" spans="1:3">
      <c r="A972" s="79"/>
      <c r="B972" s="93"/>
      <c r="C972" s="80"/>
    </row>
    <row r="973" spans="1:3">
      <c r="A973" s="65">
        <v>41062500</v>
      </c>
      <c r="B973" s="66" t="s">
        <v>637</v>
      </c>
      <c r="C973" s="67">
        <v>4500</v>
      </c>
    </row>
    <row r="974" spans="1:3">
      <c r="A974" s="65">
        <v>41062700</v>
      </c>
      <c r="B974" s="66" t="s">
        <v>638</v>
      </c>
      <c r="C974" s="67">
        <v>3000</v>
      </c>
    </row>
    <row r="975" spans="1:3">
      <c r="A975" s="68"/>
      <c r="B975" s="69" t="s">
        <v>22</v>
      </c>
      <c r="C975" s="70">
        <f>SUM(C973:C974)</f>
        <v>7500</v>
      </c>
    </row>
    <row r="976" spans="1:3">
      <c r="A976" s="79"/>
      <c r="B976" s="79"/>
      <c r="C976" s="80"/>
    </row>
    <row r="977" spans="1:3">
      <c r="A977" s="13"/>
      <c r="B977" s="53" t="s">
        <v>639</v>
      </c>
      <c r="C977" s="54"/>
    </row>
    <row r="978" spans="1:3">
      <c r="A978" s="79"/>
      <c r="B978" s="93"/>
      <c r="C978" s="57"/>
    </row>
    <row r="979" spans="1:3">
      <c r="A979" s="65">
        <v>41262700</v>
      </c>
      <c r="B979" s="66" t="s">
        <v>640</v>
      </c>
      <c r="C979" s="67">
        <v>513000</v>
      </c>
    </row>
    <row r="980" spans="1:3">
      <c r="A980" s="65">
        <v>41262702</v>
      </c>
      <c r="B980" s="66" t="s">
        <v>641</v>
      </c>
      <c r="C980" s="67">
        <v>276020.88</v>
      </c>
    </row>
    <row r="981" spans="1:3">
      <c r="A981" s="65">
        <v>41262704</v>
      </c>
      <c r="B981" s="66" t="s">
        <v>638</v>
      </c>
      <c r="C981" s="67">
        <f>115000-50000</f>
        <v>65000</v>
      </c>
    </row>
    <row r="982" spans="1:3">
      <c r="A982" s="68"/>
      <c r="B982" s="69" t="s">
        <v>22</v>
      </c>
      <c r="C982" s="70">
        <f>SUM(C979:C981)</f>
        <v>854020.88</v>
      </c>
    </row>
    <row r="983" spans="1:3">
      <c r="A983" s="79"/>
      <c r="B983" s="79"/>
      <c r="C983" s="80"/>
    </row>
    <row r="984" spans="1:3">
      <c r="A984" s="119">
        <v>41276200</v>
      </c>
      <c r="B984" s="135" t="s">
        <v>642</v>
      </c>
      <c r="C984" s="121">
        <v>500000</v>
      </c>
    </row>
    <row r="985" spans="1:3">
      <c r="A985" s="136"/>
      <c r="B985" s="123" t="s">
        <v>22</v>
      </c>
      <c r="C985" s="124">
        <f>SUM(C984:C984)</f>
        <v>500000</v>
      </c>
    </row>
    <row r="986" spans="1:3">
      <c r="A986" s="79"/>
      <c r="B986" s="79"/>
      <c r="C986" s="80"/>
    </row>
    <row r="987" spans="1:3">
      <c r="A987" s="13"/>
      <c r="B987" s="53" t="s">
        <v>643</v>
      </c>
      <c r="C987" s="54"/>
    </row>
    <row r="988" spans="1:3">
      <c r="A988" s="79"/>
      <c r="B988" s="93"/>
      <c r="C988" s="80"/>
    </row>
    <row r="989" spans="1:3">
      <c r="A989" s="55">
        <v>41321300</v>
      </c>
      <c r="B989" s="72" t="s">
        <v>644</v>
      </c>
      <c r="C989" s="73">
        <v>1500</v>
      </c>
    </row>
    <row r="990" spans="1:3">
      <c r="A990" s="55">
        <v>41322104</v>
      </c>
      <c r="B990" s="72" t="s">
        <v>126</v>
      </c>
      <c r="C990" s="73">
        <v>1000</v>
      </c>
    </row>
    <row r="991" spans="1:3">
      <c r="A991" s="55">
        <v>41322105</v>
      </c>
      <c r="B991" s="72" t="s">
        <v>645</v>
      </c>
      <c r="C991" s="73">
        <v>36032</v>
      </c>
    </row>
    <row r="992" spans="1:3">
      <c r="A992" s="55">
        <v>41322106</v>
      </c>
      <c r="B992" s="72" t="s">
        <v>646</v>
      </c>
      <c r="C992" s="73">
        <v>500</v>
      </c>
    </row>
    <row r="993" spans="1:3">
      <c r="A993" s="55">
        <v>41322107</v>
      </c>
      <c r="B993" s="72" t="s">
        <v>647</v>
      </c>
      <c r="C993" s="73">
        <v>500</v>
      </c>
    </row>
    <row r="994" spans="1:3">
      <c r="A994" s="55">
        <v>41322699</v>
      </c>
      <c r="B994" s="72" t="s">
        <v>648</v>
      </c>
      <c r="C994" s="73">
        <v>7000</v>
      </c>
    </row>
    <row r="995" spans="1:3">
      <c r="A995" s="55">
        <v>41322709</v>
      </c>
      <c r="B995" s="72" t="s">
        <v>649</v>
      </c>
      <c r="C995" s="73">
        <v>21565.73</v>
      </c>
    </row>
    <row r="996" spans="1:3">
      <c r="A996" s="79"/>
      <c r="B996" s="8" t="s">
        <v>22</v>
      </c>
      <c r="C996" s="81">
        <f>SUM(C989:C995)</f>
        <v>68097.73</v>
      </c>
    </row>
    <row r="997" spans="1:3">
      <c r="A997" s="79"/>
      <c r="B997" s="93"/>
      <c r="C997" s="57"/>
    </row>
    <row r="998" spans="1:3">
      <c r="A998" s="60">
        <v>41346200</v>
      </c>
      <c r="B998" s="61" t="s">
        <v>650</v>
      </c>
      <c r="C998" s="74">
        <v>3000</v>
      </c>
    </row>
    <row r="999" spans="1:3">
      <c r="A999" s="60">
        <v>41346201</v>
      </c>
      <c r="B999" s="61" t="s">
        <v>651</v>
      </c>
      <c r="C999" s="74">
        <v>6000</v>
      </c>
    </row>
    <row r="1000" spans="1:3">
      <c r="A1000" s="60">
        <v>41346202</v>
      </c>
      <c r="B1000" s="61" t="s">
        <v>652</v>
      </c>
      <c r="C1000" s="74">
        <v>3000</v>
      </c>
    </row>
    <row r="1001" spans="1:3">
      <c r="A1001" s="60">
        <v>41346203</v>
      </c>
      <c r="B1001" s="61" t="s">
        <v>653</v>
      </c>
      <c r="C1001" s="74">
        <v>3500</v>
      </c>
    </row>
    <row r="1002" spans="1:3">
      <c r="A1002" s="60">
        <v>41346204</v>
      </c>
      <c r="B1002" s="61" t="s">
        <v>654</v>
      </c>
      <c r="C1002" s="74">
        <v>3000</v>
      </c>
    </row>
    <row r="1003" spans="1:3">
      <c r="A1003" s="60">
        <v>41348900</v>
      </c>
      <c r="B1003" s="61" t="s">
        <v>655</v>
      </c>
      <c r="C1003" s="74">
        <v>25000</v>
      </c>
    </row>
    <row r="1004" spans="1:3">
      <c r="A1004" s="75"/>
      <c r="B1004" s="63" t="s">
        <v>22</v>
      </c>
      <c r="C1004" s="64">
        <f>SUM(C998:C1003)</f>
        <v>43500</v>
      </c>
    </row>
    <row r="1005" spans="1:3">
      <c r="A1005" s="79"/>
      <c r="B1005" s="93"/>
      <c r="C1005" s="57"/>
    </row>
    <row r="1006" spans="1:3">
      <c r="A1006" s="65">
        <v>41362400</v>
      </c>
      <c r="B1006" s="66" t="s">
        <v>656</v>
      </c>
      <c r="C1006" s="67">
        <v>32000</v>
      </c>
    </row>
    <row r="1007" spans="1:3">
      <c r="A1007" s="65">
        <v>41362900</v>
      </c>
      <c r="B1007" s="66" t="s">
        <v>657</v>
      </c>
      <c r="C1007" s="67">
        <v>2500</v>
      </c>
    </row>
    <row r="1008" spans="1:3">
      <c r="A1008" s="65">
        <v>41363200</v>
      </c>
      <c r="B1008" s="66" t="s">
        <v>658</v>
      </c>
      <c r="C1008" s="67">
        <v>15000</v>
      </c>
    </row>
    <row r="1009" spans="1:3">
      <c r="A1009" s="65">
        <v>41363900</v>
      </c>
      <c r="B1009" s="66" t="s">
        <v>638</v>
      </c>
      <c r="C1009" s="67">
        <v>5000</v>
      </c>
    </row>
    <row r="1010" spans="1:3">
      <c r="A1010" s="68"/>
      <c r="B1010" s="69" t="s">
        <v>22</v>
      </c>
      <c r="C1010" s="70">
        <f>SUM(C1006:C1009)</f>
        <v>54500</v>
      </c>
    </row>
    <row r="1011" spans="1:3">
      <c r="A1011" s="79"/>
      <c r="B1011" s="79"/>
      <c r="C1011" s="80"/>
    </row>
    <row r="1012" spans="1:3">
      <c r="A1012" s="13"/>
      <c r="B1012" s="53" t="s">
        <v>659</v>
      </c>
      <c r="C1012" s="54"/>
    </row>
    <row r="1013" spans="1:3">
      <c r="A1013" s="79"/>
      <c r="B1013" s="93"/>
      <c r="C1013" s="80"/>
    </row>
    <row r="1014" spans="1:3">
      <c r="A1014" s="126">
        <v>41448903</v>
      </c>
      <c r="B1014" s="126" t="s">
        <v>660</v>
      </c>
      <c r="C1014" s="137">
        <f>145000+20000</f>
        <v>165000</v>
      </c>
    </row>
    <row r="1015" spans="1:3">
      <c r="A1015" s="75"/>
      <c r="B1015" s="63" t="s">
        <v>22</v>
      </c>
      <c r="C1015" s="64">
        <f>SUM(C1014:C1014)</f>
        <v>165000</v>
      </c>
    </row>
    <row r="1016" spans="1:3">
      <c r="A1016" s="79"/>
      <c r="B1016" s="79"/>
      <c r="C1016" s="80"/>
    </row>
    <row r="1017" spans="1:3">
      <c r="A1017" s="173">
        <v>41478900</v>
      </c>
      <c r="B1017" s="173" t="s">
        <v>661</v>
      </c>
      <c r="C1017" s="174">
        <v>20000</v>
      </c>
    </row>
    <row r="1018" spans="1:3">
      <c r="A1018" s="175"/>
      <c r="B1018" s="176" t="s">
        <v>22</v>
      </c>
      <c r="C1018" s="177">
        <f>SUM(C1017:C1017)</f>
        <v>20000</v>
      </c>
    </row>
    <row r="1019" spans="1:3">
      <c r="A1019" s="79"/>
      <c r="B1019" s="79"/>
      <c r="C1019" s="80"/>
    </row>
    <row r="1020" spans="1:3">
      <c r="A1020" s="79"/>
      <c r="B1020" s="79"/>
      <c r="C1020" s="80"/>
    </row>
    <row r="1021" spans="1:3">
      <c r="A1021" s="13"/>
      <c r="B1021" s="53" t="s">
        <v>106</v>
      </c>
      <c r="C1021" s="54"/>
    </row>
    <row r="1022" spans="1:3">
      <c r="A1022" s="79"/>
      <c r="B1022" s="93"/>
      <c r="C1022" s="80"/>
    </row>
    <row r="1023" spans="1:3">
      <c r="A1023" s="55">
        <v>41621300</v>
      </c>
      <c r="B1023" s="72" t="s">
        <v>662</v>
      </c>
      <c r="C1023" s="73">
        <v>9500</v>
      </c>
    </row>
    <row r="1024" spans="1:3">
      <c r="A1024" s="55">
        <v>41622104</v>
      </c>
      <c r="B1024" s="72" t="s">
        <v>126</v>
      </c>
      <c r="C1024" s="73">
        <v>200</v>
      </c>
    </row>
    <row r="1025" spans="1:3">
      <c r="A1025" s="55">
        <v>41622107</v>
      </c>
      <c r="B1025" s="72" t="s">
        <v>663</v>
      </c>
      <c r="C1025" s="73">
        <v>16300</v>
      </c>
    </row>
    <row r="1026" spans="1:3">
      <c r="A1026" s="55">
        <v>41622699</v>
      </c>
      <c r="B1026" s="72" t="s">
        <v>20</v>
      </c>
      <c r="C1026" s="73">
        <v>2500</v>
      </c>
    </row>
    <row r="1027" spans="1:3">
      <c r="A1027" s="79"/>
      <c r="B1027" s="8" t="s">
        <v>22</v>
      </c>
      <c r="C1027" s="81">
        <f>SUM(C1023:C1026)</f>
        <v>28500</v>
      </c>
    </row>
    <row r="1028" spans="1:3">
      <c r="A1028" s="79"/>
      <c r="B1028" s="93"/>
      <c r="C1028" s="80"/>
    </row>
    <row r="1029" spans="1:3">
      <c r="A1029" s="60">
        <v>41642500</v>
      </c>
      <c r="B1029" s="61" t="s">
        <v>664</v>
      </c>
      <c r="C1029" s="74">
        <v>81000</v>
      </c>
    </row>
    <row r="1030" spans="1:3">
      <c r="A1030" s="75"/>
      <c r="B1030" s="63" t="s">
        <v>22</v>
      </c>
      <c r="C1030" s="64">
        <f>SUM(C1029)</f>
        <v>81000</v>
      </c>
    </row>
    <row r="1031" spans="1:3">
      <c r="A1031" s="79"/>
      <c r="B1031" s="93"/>
      <c r="C1031" s="80"/>
    </row>
    <row r="1032" spans="1:3">
      <c r="A1032" s="65">
        <v>41662600</v>
      </c>
      <c r="B1032" s="66" t="s">
        <v>665</v>
      </c>
      <c r="C1032" s="67">
        <v>200</v>
      </c>
    </row>
    <row r="1033" spans="1:3">
      <c r="A1033" s="65">
        <v>41662300</v>
      </c>
      <c r="B1033" s="66" t="s">
        <v>666</v>
      </c>
      <c r="C1033" s="67">
        <v>50000</v>
      </c>
    </row>
    <row r="1034" spans="1:3">
      <c r="A1034" s="68"/>
      <c r="B1034" s="69" t="s">
        <v>22</v>
      </c>
      <c r="C1034" s="70">
        <f>SUM(C1032:C1033)</f>
        <v>50200</v>
      </c>
    </row>
    <row r="1035" spans="1:3">
      <c r="A1035" s="79"/>
      <c r="B1035" s="79"/>
      <c r="C1035" s="80"/>
    </row>
    <row r="1036" spans="1:3">
      <c r="A1036" s="13"/>
      <c r="B1036" s="53" t="s">
        <v>667</v>
      </c>
      <c r="C1036" s="54"/>
    </row>
    <row r="1037" spans="1:3">
      <c r="A1037" s="79"/>
      <c r="B1037" s="93"/>
      <c r="C1037" s="80"/>
    </row>
    <row r="1038" spans="1:3">
      <c r="A1038" s="55">
        <v>41720300</v>
      </c>
      <c r="B1038" s="178" t="s">
        <v>668</v>
      </c>
      <c r="C1038" s="73">
        <v>100</v>
      </c>
    </row>
    <row r="1039" spans="1:3">
      <c r="A1039" s="55">
        <v>41721200</v>
      </c>
      <c r="B1039" s="72" t="s">
        <v>669</v>
      </c>
      <c r="C1039" s="73">
        <v>10000</v>
      </c>
    </row>
    <row r="1040" spans="1:3">
      <c r="A1040" s="55">
        <v>41721300</v>
      </c>
      <c r="B1040" s="72" t="s">
        <v>670</v>
      </c>
      <c r="C1040" s="73">
        <v>11000</v>
      </c>
    </row>
    <row r="1041" spans="1:3">
      <c r="A1041" s="55">
        <v>41722104</v>
      </c>
      <c r="B1041" s="72" t="s">
        <v>126</v>
      </c>
      <c r="C1041" s="73">
        <v>1500</v>
      </c>
    </row>
    <row r="1042" spans="1:3">
      <c r="A1042" s="55">
        <v>41722199</v>
      </c>
      <c r="B1042" s="72" t="s">
        <v>535</v>
      </c>
      <c r="C1042" s="73">
        <v>9000</v>
      </c>
    </row>
    <row r="1043" spans="1:3">
      <c r="A1043" s="55">
        <v>41722300</v>
      </c>
      <c r="B1043" s="72" t="s">
        <v>671</v>
      </c>
      <c r="C1043" s="73">
        <v>1500</v>
      </c>
    </row>
    <row r="1044" spans="1:3">
      <c r="A1044" s="55">
        <v>41722400</v>
      </c>
      <c r="B1044" s="72" t="s">
        <v>672</v>
      </c>
      <c r="C1044" s="73">
        <v>3204</v>
      </c>
    </row>
    <row r="1045" spans="1:3">
      <c r="A1045" s="55">
        <v>41722699</v>
      </c>
      <c r="B1045" s="72" t="s">
        <v>673</v>
      </c>
      <c r="C1045" s="73">
        <v>3500</v>
      </c>
    </row>
    <row r="1046" spans="1:3">
      <c r="A1046" s="79"/>
      <c r="B1046" s="8" t="s">
        <v>22</v>
      </c>
      <c r="C1046" s="81">
        <f>SUM(C1038:C1045)</f>
        <v>39804</v>
      </c>
    </row>
    <row r="1047" spans="1:3">
      <c r="A1047" s="79"/>
      <c r="B1047" s="93"/>
      <c r="C1047" s="57"/>
    </row>
    <row r="1048" spans="1:3">
      <c r="A1048" s="65">
        <v>41762700</v>
      </c>
      <c r="B1048" s="66" t="s">
        <v>674</v>
      </c>
      <c r="C1048" s="67">
        <v>27000</v>
      </c>
    </row>
    <row r="1049" spans="1:3">
      <c r="A1049" s="68"/>
      <c r="B1049" s="69" t="s">
        <v>22</v>
      </c>
      <c r="C1049" s="70">
        <f>SUM(C1048:C1048)</f>
        <v>27000</v>
      </c>
    </row>
    <row r="1050" spans="1:3">
      <c r="A1050" s="79"/>
      <c r="B1050" s="79"/>
      <c r="C1050" s="80"/>
    </row>
    <row r="1051" spans="1:3">
      <c r="A1051" s="13"/>
      <c r="B1051" s="53" t="s">
        <v>675</v>
      </c>
      <c r="C1051" s="54"/>
    </row>
    <row r="1052" spans="1:3">
      <c r="A1052" s="79"/>
      <c r="B1052" s="79"/>
      <c r="C1052" s="80"/>
    </row>
    <row r="1053" spans="1:3">
      <c r="A1053" s="55">
        <v>41922108</v>
      </c>
      <c r="B1053" s="72" t="s">
        <v>676</v>
      </c>
      <c r="C1053" s="73">
        <v>70000</v>
      </c>
    </row>
    <row r="1054" spans="1:3">
      <c r="A1054" s="55">
        <v>41922709</v>
      </c>
      <c r="B1054" s="72" t="s">
        <v>677</v>
      </c>
      <c r="C1054" s="73">
        <v>1000</v>
      </c>
    </row>
    <row r="1055" spans="1:3">
      <c r="A1055" s="79"/>
      <c r="B1055" s="8" t="s">
        <v>22</v>
      </c>
      <c r="C1055" s="81">
        <f>SUM(C1053:C1054)</f>
        <v>71000</v>
      </c>
    </row>
    <row r="1056" spans="1:3">
      <c r="A1056" s="79"/>
      <c r="B1056" s="79"/>
      <c r="C1056" s="80"/>
    </row>
    <row r="1057" spans="1:3">
      <c r="A1057" s="60">
        <v>41944900</v>
      </c>
      <c r="B1057" s="61" t="s">
        <v>678</v>
      </c>
      <c r="C1057" s="74">
        <v>65692.490000000005</v>
      </c>
    </row>
    <row r="1058" spans="1:3">
      <c r="A1058" s="60">
        <v>41944901</v>
      </c>
      <c r="B1058" s="61" t="s">
        <v>679</v>
      </c>
      <c r="C1058" s="74">
        <v>110937.34</v>
      </c>
    </row>
    <row r="1059" spans="1:3">
      <c r="A1059" s="60">
        <v>41944902</v>
      </c>
      <c r="B1059" s="61" t="s">
        <v>680</v>
      </c>
      <c r="C1059" s="74">
        <v>335948.73</v>
      </c>
    </row>
    <row r="1060" spans="1:3">
      <c r="A1060" s="60">
        <v>41947901</v>
      </c>
      <c r="B1060" s="61" t="s">
        <v>681</v>
      </c>
      <c r="C1060" s="74">
        <v>20000</v>
      </c>
    </row>
    <row r="1061" spans="1:3">
      <c r="A1061" s="60">
        <v>41947904</v>
      </c>
      <c r="B1061" s="61" t="s">
        <v>682</v>
      </c>
      <c r="C1061" s="74">
        <v>20000</v>
      </c>
    </row>
    <row r="1062" spans="1:3">
      <c r="A1062" s="60">
        <v>41948800</v>
      </c>
      <c r="B1062" s="61" t="s">
        <v>683</v>
      </c>
      <c r="C1062" s="74">
        <v>1500</v>
      </c>
    </row>
    <row r="1063" spans="1:3">
      <c r="A1063" s="60">
        <v>41948900</v>
      </c>
      <c r="B1063" s="61" t="s">
        <v>684</v>
      </c>
      <c r="C1063" s="74">
        <v>368500</v>
      </c>
    </row>
    <row r="1064" spans="1:3">
      <c r="A1064" s="60">
        <v>41948901</v>
      </c>
      <c r="B1064" s="61" t="s">
        <v>685</v>
      </c>
      <c r="C1064" s="74">
        <v>20500</v>
      </c>
    </row>
    <row r="1065" spans="1:3">
      <c r="A1065" s="60">
        <v>41948902</v>
      </c>
      <c r="B1065" s="61" t="s">
        <v>686</v>
      </c>
      <c r="C1065" s="74">
        <v>39973</v>
      </c>
    </row>
    <row r="1066" spans="1:3">
      <c r="A1066" s="60">
        <v>41948903</v>
      </c>
      <c r="B1066" s="61" t="s">
        <v>687</v>
      </c>
      <c r="C1066" s="74">
        <v>25000</v>
      </c>
    </row>
    <row r="1067" spans="1:3">
      <c r="A1067" s="60">
        <v>41948904</v>
      </c>
      <c r="B1067" s="61" t="s">
        <v>688</v>
      </c>
      <c r="C1067" s="74">
        <v>25000</v>
      </c>
    </row>
    <row r="1068" spans="1:3">
      <c r="A1068" s="60">
        <v>41948905</v>
      </c>
      <c r="B1068" s="61" t="s">
        <v>689</v>
      </c>
      <c r="C1068" s="74">
        <v>25000</v>
      </c>
    </row>
    <row r="1069" spans="1:3">
      <c r="A1069" s="60">
        <v>41948906</v>
      </c>
      <c r="B1069" s="61" t="s">
        <v>690</v>
      </c>
      <c r="C1069" s="74">
        <v>25000</v>
      </c>
    </row>
    <row r="1070" spans="1:3">
      <c r="A1070" s="60">
        <v>41948907</v>
      </c>
      <c r="B1070" s="61" t="s">
        <v>691</v>
      </c>
      <c r="C1070" s="74">
        <v>3500</v>
      </c>
    </row>
    <row r="1071" spans="1:3">
      <c r="A1071" s="60">
        <v>41948908</v>
      </c>
      <c r="B1071" s="61" t="s">
        <v>692</v>
      </c>
      <c r="C1071" s="74">
        <v>3500</v>
      </c>
    </row>
    <row r="1072" spans="1:3">
      <c r="A1072" s="60">
        <v>41948909</v>
      </c>
      <c r="B1072" s="61" t="s">
        <v>693</v>
      </c>
      <c r="C1072" s="74">
        <v>600</v>
      </c>
    </row>
    <row r="1073" spans="1:3">
      <c r="A1073" s="60">
        <v>41948910</v>
      </c>
      <c r="B1073" s="61" t="s">
        <v>694</v>
      </c>
      <c r="C1073" s="74">
        <v>1500</v>
      </c>
    </row>
    <row r="1074" spans="1:3">
      <c r="A1074" s="75"/>
      <c r="B1074" s="63" t="s">
        <v>22</v>
      </c>
      <c r="C1074" s="64">
        <f>SUM(C1057:C1073)</f>
        <v>1092151.56</v>
      </c>
    </row>
    <row r="1075" spans="1:3">
      <c r="A1075" s="79"/>
      <c r="B1075" s="79"/>
      <c r="C1075" s="80"/>
    </row>
    <row r="1076" spans="1:3">
      <c r="A1076" s="119">
        <v>41978900</v>
      </c>
      <c r="B1076" s="135" t="s">
        <v>695</v>
      </c>
      <c r="C1076" s="121">
        <v>160000</v>
      </c>
    </row>
    <row r="1077" spans="1:3">
      <c r="A1077" s="136"/>
      <c r="B1077" s="123" t="s">
        <v>22</v>
      </c>
      <c r="C1077" s="124">
        <f>SUM(C1076:C1076)</f>
        <v>160000</v>
      </c>
    </row>
    <row r="1078" spans="1:3">
      <c r="A1078" s="79"/>
      <c r="B1078" s="79"/>
      <c r="C1078" s="80"/>
    </row>
    <row r="1079" spans="1:3">
      <c r="A1079" s="13"/>
      <c r="B1079" s="53" t="s">
        <v>696</v>
      </c>
      <c r="C1079" s="54"/>
    </row>
    <row r="1080" spans="1:3">
      <c r="A1080" s="79"/>
      <c r="B1080" s="79"/>
      <c r="C1080" s="80"/>
    </row>
    <row r="1081" spans="1:3">
      <c r="A1081" s="55">
        <v>42022001</v>
      </c>
      <c r="B1081" s="178" t="s">
        <v>697</v>
      </c>
      <c r="C1081" s="73">
        <v>95</v>
      </c>
    </row>
    <row r="1082" spans="1:3">
      <c r="A1082" s="55">
        <v>42022300</v>
      </c>
      <c r="B1082" s="178" t="s">
        <v>79</v>
      </c>
      <c r="C1082" s="73">
        <v>237</v>
      </c>
    </row>
    <row r="1083" spans="1:3">
      <c r="A1083" s="55">
        <v>42022706</v>
      </c>
      <c r="B1083" s="178" t="s">
        <v>82</v>
      </c>
      <c r="C1083" s="73">
        <v>5000</v>
      </c>
    </row>
    <row r="1084" spans="1:3">
      <c r="A1084" s="55">
        <v>42022699</v>
      </c>
      <c r="B1084" s="178" t="s">
        <v>67</v>
      </c>
      <c r="C1084" s="73">
        <v>3807.5</v>
      </c>
    </row>
    <row r="1085" spans="1:3">
      <c r="A1085" s="55"/>
      <c r="B1085" s="8" t="s">
        <v>22</v>
      </c>
      <c r="C1085" s="81">
        <f>SUM(C1081:C1084)</f>
        <v>9139.5</v>
      </c>
    </row>
    <row r="1086" spans="1:3">
      <c r="A1086" s="55"/>
      <c r="B1086" s="178"/>
      <c r="C1086" s="73"/>
    </row>
    <row r="1087" spans="1:3">
      <c r="A1087" s="13"/>
      <c r="B1087" s="53" t="s">
        <v>698</v>
      </c>
      <c r="C1087" s="54"/>
    </row>
    <row r="1088" spans="1:3">
      <c r="A1088" s="55"/>
      <c r="B1088" s="93"/>
      <c r="C1088" s="73"/>
    </row>
    <row r="1089" spans="1:3">
      <c r="A1089" s="55">
        <v>42222602</v>
      </c>
      <c r="B1089" s="178" t="s">
        <v>31</v>
      </c>
      <c r="C1089" s="73">
        <v>1000</v>
      </c>
    </row>
    <row r="1090" spans="1:3">
      <c r="A1090" s="55">
        <v>42222707</v>
      </c>
      <c r="B1090" s="178" t="s">
        <v>699</v>
      </c>
      <c r="C1090" s="73">
        <v>5000</v>
      </c>
    </row>
    <row r="1091" spans="1:3">
      <c r="A1091" s="79"/>
      <c r="B1091" s="8" t="s">
        <v>22</v>
      </c>
      <c r="C1091" s="81">
        <f>SUM(C1089:C1090)</f>
        <v>6000</v>
      </c>
    </row>
    <row r="1092" spans="1:3">
      <c r="A1092" s="76"/>
      <c r="B1092" s="77"/>
      <c r="C1092" s="78"/>
    </row>
    <row r="1093" spans="1:3">
      <c r="A1093" s="114">
        <v>42244900</v>
      </c>
      <c r="B1093" s="115" t="s">
        <v>700</v>
      </c>
      <c r="C1093" s="116">
        <v>60000</v>
      </c>
    </row>
    <row r="1094" spans="1:3">
      <c r="A1094" s="114">
        <v>42244901</v>
      </c>
      <c r="B1094" s="115" t="s">
        <v>701</v>
      </c>
      <c r="C1094" s="116">
        <v>106000</v>
      </c>
    </row>
    <row r="1095" spans="1:3">
      <c r="A1095" s="179"/>
      <c r="B1095" s="180" t="s">
        <v>22</v>
      </c>
      <c r="C1095" s="181">
        <f>SUM(C1093:C1094)</f>
        <v>166000</v>
      </c>
    </row>
    <row r="1096" spans="1:3">
      <c r="A1096" s="76"/>
      <c r="B1096" s="77"/>
      <c r="C1096" s="78"/>
    </row>
    <row r="1097" spans="1:3">
      <c r="A1097" s="13"/>
      <c r="B1097" s="53" t="s">
        <v>702</v>
      </c>
      <c r="C1097" s="54"/>
    </row>
    <row r="1098" spans="1:3">
      <c r="A1098" s="79"/>
      <c r="B1098" s="8"/>
      <c r="C1098" s="81"/>
    </row>
    <row r="1099" spans="1:3">
      <c r="A1099" s="55">
        <v>42522601</v>
      </c>
      <c r="B1099" s="72" t="s">
        <v>703</v>
      </c>
      <c r="C1099" s="87">
        <v>2000</v>
      </c>
    </row>
    <row r="1100" spans="1:3">
      <c r="A1100" s="55">
        <v>42522606</v>
      </c>
      <c r="B1100" s="178" t="s">
        <v>704</v>
      </c>
      <c r="C1100" s="73">
        <v>15000</v>
      </c>
    </row>
    <row r="1101" spans="1:3">
      <c r="A1101" s="79"/>
      <c r="B1101" s="8" t="s">
        <v>22</v>
      </c>
      <c r="C1101" s="81">
        <f>SUM(C1099:C1100)</f>
        <v>17000</v>
      </c>
    </row>
    <row r="1102" spans="1:3">
      <c r="A1102" s="79"/>
      <c r="B1102" s="8"/>
      <c r="C1102" s="81"/>
    </row>
    <row r="1103" spans="1:3">
      <c r="A1103" s="114">
        <v>42544900</v>
      </c>
      <c r="B1103" s="115" t="s">
        <v>705</v>
      </c>
      <c r="C1103" s="116">
        <v>60000</v>
      </c>
    </row>
    <row r="1104" spans="1:3">
      <c r="A1104" s="179"/>
      <c r="B1104" s="180" t="s">
        <v>22</v>
      </c>
      <c r="C1104" s="181">
        <f>SUM(C1103:C1103)</f>
        <v>60000</v>
      </c>
    </row>
    <row r="1105" spans="1:3">
      <c r="A1105" s="79"/>
      <c r="B1105" s="8"/>
      <c r="C1105" s="81"/>
    </row>
    <row r="1106" spans="1:3">
      <c r="A1106" s="79"/>
      <c r="B1106" s="8"/>
      <c r="C1106" s="81"/>
    </row>
    <row r="1107" spans="1:3">
      <c r="A1107" s="65">
        <v>42562700</v>
      </c>
      <c r="B1107" s="66" t="s">
        <v>706</v>
      </c>
      <c r="C1107" s="67">
        <v>70000</v>
      </c>
    </row>
    <row r="1108" spans="1:3">
      <c r="A1108" s="68"/>
      <c r="B1108" s="69" t="s">
        <v>22</v>
      </c>
      <c r="C1108" s="70">
        <f>SUM(C1107:C1107)</f>
        <v>70000</v>
      </c>
    </row>
    <row r="1109" spans="1:3">
      <c r="A1109" s="79"/>
      <c r="B1109" s="8"/>
      <c r="C1109" s="81"/>
    </row>
    <row r="1110" spans="1:3">
      <c r="A1110" s="119">
        <v>42576200</v>
      </c>
      <c r="B1110" s="135" t="s">
        <v>707</v>
      </c>
      <c r="C1110" s="121">
        <v>150000</v>
      </c>
    </row>
    <row r="1111" spans="1:3">
      <c r="A1111" s="119">
        <v>42578900</v>
      </c>
      <c r="B1111" s="135" t="s">
        <v>708</v>
      </c>
      <c r="C1111" s="121">
        <f>350000-75000</f>
        <v>275000</v>
      </c>
    </row>
    <row r="1112" spans="1:3">
      <c r="A1112" s="136"/>
      <c r="B1112" s="123" t="s">
        <v>22</v>
      </c>
      <c r="C1112" s="124">
        <f>SUM(C1110:C1111)</f>
        <v>425000</v>
      </c>
    </row>
    <row r="1113" spans="1:3">
      <c r="A1113" s="79"/>
      <c r="B1113" s="8"/>
      <c r="C1113" s="81"/>
    </row>
    <row r="1114" spans="1:3">
      <c r="A1114" s="13"/>
      <c r="B1114" s="53" t="s">
        <v>709</v>
      </c>
      <c r="C1114" s="54"/>
    </row>
    <row r="1115" spans="1:3">
      <c r="A1115" s="40"/>
      <c r="B1115" s="103"/>
      <c r="C1115" s="54"/>
    </row>
    <row r="1116" spans="1:3">
      <c r="A1116" s="83">
        <v>42612000</v>
      </c>
      <c r="B1116" s="84" t="s">
        <v>49</v>
      </c>
      <c r="C1116" s="85">
        <v>16005.73</v>
      </c>
    </row>
    <row r="1117" spans="1:3">
      <c r="A1117" s="83">
        <v>42612004</v>
      </c>
      <c r="B1117" s="84" t="s">
        <v>72</v>
      </c>
      <c r="C1117" s="85">
        <v>8897.99</v>
      </c>
    </row>
    <row r="1118" spans="1:3">
      <c r="A1118" s="83">
        <v>42612006</v>
      </c>
      <c r="B1118" s="84" t="s">
        <v>53</v>
      </c>
      <c r="C1118" s="85">
        <v>7321.01</v>
      </c>
    </row>
    <row r="1119" spans="1:3">
      <c r="A1119" s="83">
        <v>42612100</v>
      </c>
      <c r="B1119" s="84" t="s">
        <v>54</v>
      </c>
      <c r="C1119" s="85">
        <v>17900.759999999998</v>
      </c>
    </row>
    <row r="1120" spans="1:3">
      <c r="A1120" s="83">
        <v>42612101</v>
      </c>
      <c r="B1120" s="84" t="s">
        <v>55</v>
      </c>
      <c r="C1120" s="85">
        <v>24509.279999999999</v>
      </c>
    </row>
    <row r="1121" spans="1:3">
      <c r="A1121" s="83">
        <v>42612103</v>
      </c>
      <c r="B1121" s="84" t="s">
        <v>56</v>
      </c>
      <c r="C1121" s="85">
        <v>16972.400000000001</v>
      </c>
    </row>
    <row r="1122" spans="1:3">
      <c r="A1122" s="83">
        <v>42613000</v>
      </c>
      <c r="B1122" s="84" t="s">
        <v>111</v>
      </c>
      <c r="C1122" s="85">
        <v>21520.89</v>
      </c>
    </row>
    <row r="1123" spans="1:3">
      <c r="A1123" s="83">
        <v>42613002</v>
      </c>
      <c r="B1123" s="84" t="s">
        <v>112</v>
      </c>
      <c r="C1123" s="85">
        <v>33075.25</v>
      </c>
    </row>
    <row r="1124" spans="1:3">
      <c r="A1124" s="83">
        <v>42615000</v>
      </c>
      <c r="B1124" s="84" t="s">
        <v>57</v>
      </c>
      <c r="C1124" s="85">
        <v>749.12</v>
      </c>
    </row>
    <row r="1125" spans="1:3">
      <c r="A1125" s="83">
        <v>42616000</v>
      </c>
      <c r="B1125" s="84" t="s">
        <v>58</v>
      </c>
      <c r="C1125" s="85">
        <v>39023.71</v>
      </c>
    </row>
    <row r="1126" spans="1:3">
      <c r="A1126" s="84"/>
      <c r="B1126" s="11" t="s">
        <v>22</v>
      </c>
      <c r="C1126" s="86">
        <f>SUM(C1116:C1125)</f>
        <v>185976.13999999998</v>
      </c>
    </row>
    <row r="1127" spans="1:3">
      <c r="A1127" s="76"/>
      <c r="B1127" s="77"/>
      <c r="C1127" s="133"/>
    </row>
    <row r="1128" spans="1:3">
      <c r="A1128" s="55">
        <v>42622000</v>
      </c>
      <c r="B1128" s="72" t="s">
        <v>59</v>
      </c>
      <c r="C1128" s="73">
        <v>1000</v>
      </c>
    </row>
    <row r="1129" spans="1:3">
      <c r="A1129" s="55">
        <v>42622114</v>
      </c>
      <c r="B1129" s="72" t="s">
        <v>710</v>
      </c>
      <c r="C1129" s="73">
        <v>1000</v>
      </c>
    </row>
    <row r="1130" spans="1:3">
      <c r="A1130" s="55">
        <v>42622300</v>
      </c>
      <c r="B1130" s="72" t="s">
        <v>711</v>
      </c>
      <c r="C1130" s="73">
        <v>400</v>
      </c>
    </row>
    <row r="1131" spans="1:3">
      <c r="A1131" s="55">
        <v>42622602</v>
      </c>
      <c r="B1131" s="72" t="s">
        <v>712</v>
      </c>
      <c r="C1131" s="73">
        <v>12000</v>
      </c>
    </row>
    <row r="1132" spans="1:3">
      <c r="A1132" s="55">
        <v>42622606</v>
      </c>
      <c r="B1132" s="72" t="s">
        <v>713</v>
      </c>
      <c r="C1132" s="73">
        <v>30000</v>
      </c>
    </row>
    <row r="1133" spans="1:3">
      <c r="A1133" s="113">
        <v>42622610</v>
      </c>
      <c r="B1133" s="72" t="s">
        <v>714</v>
      </c>
      <c r="C1133" s="73">
        <v>135000</v>
      </c>
    </row>
    <row r="1134" spans="1:3">
      <c r="A1134" s="55">
        <v>42622611</v>
      </c>
      <c r="B1134" s="72" t="s">
        <v>715</v>
      </c>
      <c r="C1134" s="73">
        <v>18000</v>
      </c>
    </row>
    <row r="1135" spans="1:3">
      <c r="A1135" s="55">
        <v>42622612</v>
      </c>
      <c r="B1135" s="72" t="s">
        <v>716</v>
      </c>
      <c r="C1135" s="73">
        <v>15000</v>
      </c>
    </row>
    <row r="1136" spans="1:3">
      <c r="A1136" s="55">
        <v>42622707</v>
      </c>
      <c r="B1136" s="72" t="s">
        <v>717</v>
      </c>
      <c r="C1136" s="73">
        <v>5525</v>
      </c>
    </row>
    <row r="1137" spans="1:3">
      <c r="A1137" s="55">
        <v>42622710</v>
      </c>
      <c r="B1137" s="72" t="s">
        <v>718</v>
      </c>
      <c r="C1137" s="73">
        <v>46280</v>
      </c>
    </row>
    <row r="1138" spans="1:3">
      <c r="A1138" s="79"/>
      <c r="B1138" s="8" t="s">
        <v>22</v>
      </c>
      <c r="C1138" s="81">
        <f>SUM(C1128:C1137)</f>
        <v>264205</v>
      </c>
    </row>
    <row r="1139" spans="1:3">
      <c r="A1139" s="76"/>
      <c r="B1139" s="77"/>
      <c r="C1139" s="78"/>
    </row>
    <row r="1140" spans="1:3">
      <c r="A1140" s="60">
        <v>42644900</v>
      </c>
      <c r="B1140" s="61" t="s">
        <v>719</v>
      </c>
      <c r="C1140" s="74">
        <v>46500</v>
      </c>
    </row>
    <row r="1141" spans="1:3">
      <c r="A1141" s="60">
        <v>42646200</v>
      </c>
      <c r="B1141" s="61" t="s">
        <v>720</v>
      </c>
      <c r="C1141" s="74">
        <v>30855.360000000001</v>
      </c>
    </row>
    <row r="1142" spans="1:3">
      <c r="A1142" s="60">
        <v>42647300</v>
      </c>
      <c r="B1142" s="61" t="s">
        <v>721</v>
      </c>
      <c r="C1142" s="74">
        <v>4000</v>
      </c>
    </row>
    <row r="1143" spans="1:3">
      <c r="A1143" s="60">
        <v>42647301</v>
      </c>
      <c r="B1143" s="61" t="s">
        <v>722</v>
      </c>
      <c r="C1143" s="74">
        <v>10000</v>
      </c>
    </row>
    <row r="1144" spans="1:3">
      <c r="A1144" s="75"/>
      <c r="B1144" s="63" t="s">
        <v>22</v>
      </c>
      <c r="C1144" s="64">
        <f>SUM(C1140:C1143)</f>
        <v>91355.36</v>
      </c>
    </row>
    <row r="1145" spans="1:3">
      <c r="A1145" s="76"/>
      <c r="B1145" s="77"/>
      <c r="C1145" s="78"/>
    </row>
    <row r="1146" spans="1:3">
      <c r="A1146" s="65">
        <v>42662201</v>
      </c>
      <c r="B1146" s="66" t="s">
        <v>723</v>
      </c>
      <c r="C1146" s="67">
        <v>10000</v>
      </c>
    </row>
    <row r="1147" spans="1:3">
      <c r="A1147" s="65">
        <v>42662500</v>
      </c>
      <c r="B1147" s="66" t="s">
        <v>724</v>
      </c>
      <c r="C1147" s="67">
        <v>83000</v>
      </c>
    </row>
    <row r="1148" spans="1:3">
      <c r="A1148" s="65">
        <v>42662502</v>
      </c>
      <c r="B1148" s="182" t="s">
        <v>725</v>
      </c>
      <c r="C1148" s="183">
        <v>50000</v>
      </c>
    </row>
    <row r="1149" spans="1:3">
      <c r="A1149" s="68"/>
      <c r="B1149" s="69" t="s">
        <v>22</v>
      </c>
      <c r="C1149" s="70">
        <f>SUM(C1146:C1148)</f>
        <v>143000</v>
      </c>
    </row>
    <row r="1150" spans="1:3">
      <c r="A1150" s="76"/>
      <c r="B1150" s="77"/>
      <c r="C1150" s="78"/>
    </row>
    <row r="1151" spans="1:3">
      <c r="A1151" s="13"/>
      <c r="B1151" s="53" t="s">
        <v>726</v>
      </c>
      <c r="C1151" s="54"/>
    </row>
    <row r="1152" spans="1:3">
      <c r="A1152" s="13"/>
      <c r="B1152" s="79"/>
      <c r="C1152" s="54"/>
    </row>
    <row r="1153" spans="1:3">
      <c r="A1153" s="55">
        <v>43122610</v>
      </c>
      <c r="B1153" s="72" t="s">
        <v>727</v>
      </c>
      <c r="C1153" s="87">
        <v>60000</v>
      </c>
    </row>
    <row r="1154" spans="1:3">
      <c r="A1154" s="55">
        <v>43122611</v>
      </c>
      <c r="B1154" s="72" t="s">
        <v>728</v>
      </c>
      <c r="C1154" s="87">
        <v>150000</v>
      </c>
    </row>
    <row r="1155" spans="1:3">
      <c r="A1155" s="55">
        <v>43122612</v>
      </c>
      <c r="B1155" s="72" t="s">
        <v>729</v>
      </c>
      <c r="C1155" s="87">
        <v>150000</v>
      </c>
    </row>
    <row r="1156" spans="1:3">
      <c r="A1156" s="13"/>
      <c r="B1156" s="8" t="s">
        <v>22</v>
      </c>
      <c r="C1156" s="81">
        <f>SUM(C1153:C1155)</f>
        <v>360000</v>
      </c>
    </row>
    <row r="1157" spans="1:3">
      <c r="A1157" s="79"/>
      <c r="B1157" s="79"/>
      <c r="C1157" s="80"/>
    </row>
    <row r="1158" spans="1:3">
      <c r="A1158" s="60">
        <v>43148900</v>
      </c>
      <c r="B1158" s="61" t="s">
        <v>730</v>
      </c>
      <c r="C1158" s="74">
        <v>25000</v>
      </c>
    </row>
    <row r="1159" spans="1:3">
      <c r="A1159" s="60">
        <v>43148901</v>
      </c>
      <c r="B1159" s="61" t="s">
        <v>731</v>
      </c>
      <c r="C1159" s="74">
        <v>60000</v>
      </c>
    </row>
    <row r="1160" spans="1:3">
      <c r="A1160" s="60">
        <v>43148902</v>
      </c>
      <c r="B1160" s="61" t="s">
        <v>732</v>
      </c>
      <c r="C1160" s="74">
        <v>60000</v>
      </c>
    </row>
    <row r="1161" spans="1:3">
      <c r="A1161" s="60">
        <v>43148903</v>
      </c>
      <c r="B1161" s="61" t="s">
        <v>733</v>
      </c>
      <c r="C1161" s="74">
        <v>50000</v>
      </c>
    </row>
    <row r="1162" spans="1:3">
      <c r="A1162" s="75"/>
      <c r="B1162" s="63" t="s">
        <v>22</v>
      </c>
      <c r="C1162" s="64">
        <f>SUM(C1158:C1161)</f>
        <v>195000</v>
      </c>
    </row>
    <row r="1163" spans="1:3">
      <c r="A1163" s="79"/>
      <c r="B1163" s="79"/>
      <c r="C1163" s="133"/>
    </row>
    <row r="1164" spans="1:3">
      <c r="A1164" s="119">
        <v>43176200</v>
      </c>
      <c r="B1164" s="184" t="s">
        <v>734</v>
      </c>
      <c r="C1164" s="185">
        <v>155000</v>
      </c>
    </row>
    <row r="1165" spans="1:3">
      <c r="A1165" s="136"/>
      <c r="B1165" s="123" t="s">
        <v>22</v>
      </c>
      <c r="C1165" s="124">
        <f>SUM(C1164:C1164)</f>
        <v>155000</v>
      </c>
    </row>
    <row r="1166" spans="1:3">
      <c r="A1166" s="79"/>
      <c r="B1166" s="79"/>
      <c r="C1166" s="80"/>
    </row>
    <row r="1167" spans="1:3">
      <c r="A1167" s="13"/>
      <c r="B1167" s="53" t="s">
        <v>735</v>
      </c>
      <c r="C1167" s="54"/>
    </row>
    <row r="1168" spans="1:3">
      <c r="A1168" s="79"/>
      <c r="B1168" s="79"/>
      <c r="C1168" s="80"/>
    </row>
    <row r="1169" spans="1:3">
      <c r="A1169" s="83">
        <v>43212000</v>
      </c>
      <c r="B1169" s="84" t="s">
        <v>49</v>
      </c>
      <c r="C1169" s="85">
        <f>48017.2-7826.76</f>
        <v>40190.439999999995</v>
      </c>
    </row>
    <row r="1170" spans="1:3">
      <c r="A1170" s="83">
        <v>43212001</v>
      </c>
      <c r="B1170" s="84" t="s">
        <v>50</v>
      </c>
      <c r="C1170" s="85">
        <v>19776.28</v>
      </c>
    </row>
    <row r="1171" spans="1:3">
      <c r="A1171" s="83">
        <v>43212003</v>
      </c>
      <c r="B1171" s="84" t="s">
        <v>51</v>
      </c>
      <c r="C1171" s="85">
        <v>10589.7</v>
      </c>
    </row>
    <row r="1172" spans="1:3">
      <c r="A1172" s="83">
        <v>43212004</v>
      </c>
      <c r="B1172" s="84" t="s">
        <v>72</v>
      </c>
      <c r="C1172" s="85">
        <v>8897.99</v>
      </c>
    </row>
    <row r="1173" spans="1:3">
      <c r="A1173" s="83">
        <v>43212006</v>
      </c>
      <c r="B1173" s="84" t="s">
        <v>53</v>
      </c>
      <c r="C1173" s="85">
        <v>9825.44</v>
      </c>
    </row>
    <row r="1174" spans="1:3">
      <c r="A1174" s="83">
        <v>43212100</v>
      </c>
      <c r="B1174" s="84" t="s">
        <v>54</v>
      </c>
      <c r="C1174" s="85">
        <f>58270.65-6048.07</f>
        <v>52222.58</v>
      </c>
    </row>
    <row r="1175" spans="1:3">
      <c r="A1175" s="83">
        <v>43212101</v>
      </c>
      <c r="B1175" s="84" t="s">
        <v>55</v>
      </c>
      <c r="C1175" s="85">
        <f>81617.35-8940.05</f>
        <v>72677.3</v>
      </c>
    </row>
    <row r="1176" spans="1:3">
      <c r="A1176" s="83">
        <v>43212103</v>
      </c>
      <c r="B1176" s="84" t="s">
        <v>56</v>
      </c>
      <c r="C1176" s="85">
        <f>46631.61-3748.44</f>
        <v>42883.17</v>
      </c>
    </row>
    <row r="1177" spans="1:3">
      <c r="A1177" s="83">
        <v>43213000</v>
      </c>
      <c r="B1177" s="84" t="s">
        <v>111</v>
      </c>
      <c r="C1177" s="85">
        <f>131903.26-4351.09</f>
        <v>127552.17000000001</v>
      </c>
    </row>
    <row r="1178" spans="1:3">
      <c r="A1178" s="83">
        <v>43213002</v>
      </c>
      <c r="B1178" s="84" t="s">
        <v>112</v>
      </c>
      <c r="C1178" s="85">
        <f>217206.31-8256.09</f>
        <v>208950.22</v>
      </c>
    </row>
    <row r="1179" spans="1:3">
      <c r="A1179" s="83">
        <v>43215000</v>
      </c>
      <c r="B1179" s="84" t="s">
        <v>57</v>
      </c>
      <c r="C1179" s="85">
        <v>3183.76</v>
      </c>
    </row>
    <row r="1180" spans="1:3">
      <c r="A1180" s="83">
        <v>43216000</v>
      </c>
      <c r="B1180" s="84" t="s">
        <v>58</v>
      </c>
      <c r="C1180" s="85">
        <f>172951.65-93.64-93.64</f>
        <v>172764.36999999997</v>
      </c>
    </row>
    <row r="1181" spans="1:3">
      <c r="A1181" s="84"/>
      <c r="B1181" s="11" t="s">
        <v>22</v>
      </c>
      <c r="C1181" s="86">
        <f>SUM(C1169:C1180)</f>
        <v>769513.41999999993</v>
      </c>
    </row>
    <row r="1182" spans="1:3">
      <c r="A1182" s="79"/>
      <c r="B1182" s="8"/>
      <c r="C1182" s="80"/>
    </row>
    <row r="1183" spans="1:3">
      <c r="A1183" s="55">
        <v>43221600</v>
      </c>
      <c r="B1183" s="72" t="s">
        <v>736</v>
      </c>
      <c r="C1183" s="73">
        <v>2000</v>
      </c>
    </row>
    <row r="1184" spans="1:3">
      <c r="A1184" s="55">
        <v>43221900</v>
      </c>
      <c r="B1184" s="72" t="s">
        <v>737</v>
      </c>
      <c r="C1184" s="73">
        <v>2000</v>
      </c>
    </row>
    <row r="1185" spans="1:3">
      <c r="A1185" s="55">
        <v>43222000</v>
      </c>
      <c r="B1185" s="72" t="s">
        <v>59</v>
      </c>
      <c r="C1185" s="73">
        <v>1300</v>
      </c>
    </row>
    <row r="1186" spans="1:3">
      <c r="A1186" s="55">
        <v>43222001</v>
      </c>
      <c r="B1186" s="72" t="s">
        <v>738</v>
      </c>
      <c r="C1186" s="73">
        <v>200</v>
      </c>
    </row>
    <row r="1187" spans="1:3">
      <c r="A1187" s="55">
        <v>43222003</v>
      </c>
      <c r="B1187" s="72" t="s">
        <v>739</v>
      </c>
      <c r="C1187" s="73">
        <v>1500</v>
      </c>
    </row>
    <row r="1188" spans="1:3">
      <c r="A1188" s="55">
        <v>43222300</v>
      </c>
      <c r="B1188" s="72" t="s">
        <v>79</v>
      </c>
      <c r="C1188" s="73">
        <v>30000</v>
      </c>
    </row>
    <row r="1189" spans="1:3">
      <c r="A1189" s="55">
        <v>43222602</v>
      </c>
      <c r="B1189" s="72" t="s">
        <v>31</v>
      </c>
      <c r="C1189" s="73">
        <f>250000-10000</f>
        <v>240000</v>
      </c>
    </row>
    <row r="1190" spans="1:3">
      <c r="A1190" s="55">
        <v>43222603</v>
      </c>
      <c r="B1190" s="72" t="s">
        <v>291</v>
      </c>
      <c r="C1190" s="73">
        <v>300</v>
      </c>
    </row>
    <row r="1191" spans="1:3">
      <c r="A1191" s="55">
        <v>43222606</v>
      </c>
      <c r="B1191" s="72" t="s">
        <v>740</v>
      </c>
      <c r="C1191" s="73">
        <v>5000</v>
      </c>
    </row>
    <row r="1192" spans="1:3">
      <c r="A1192" s="55">
        <v>43222608</v>
      </c>
      <c r="B1192" s="72" t="s">
        <v>741</v>
      </c>
      <c r="C1192" s="73">
        <v>50000</v>
      </c>
    </row>
    <row r="1193" spans="1:3">
      <c r="A1193" s="55">
        <v>43222609</v>
      </c>
      <c r="B1193" s="72" t="s">
        <v>742</v>
      </c>
      <c r="C1193" s="73">
        <v>50000</v>
      </c>
    </row>
    <row r="1194" spans="1:3">
      <c r="A1194" s="55">
        <v>43222610</v>
      </c>
      <c r="B1194" s="72" t="s">
        <v>743</v>
      </c>
      <c r="C1194" s="73">
        <v>20000</v>
      </c>
    </row>
    <row r="1195" spans="1:3">
      <c r="A1195" s="55">
        <v>43222611</v>
      </c>
      <c r="B1195" s="72" t="s">
        <v>744</v>
      </c>
      <c r="C1195" s="73">
        <v>20000</v>
      </c>
    </row>
    <row r="1196" spans="1:3">
      <c r="A1196" s="55">
        <v>43222632</v>
      </c>
      <c r="B1196" s="72" t="s">
        <v>745</v>
      </c>
      <c r="C1196" s="73">
        <f>20000+49000</f>
        <v>69000</v>
      </c>
    </row>
    <row r="1197" spans="1:3">
      <c r="A1197" s="55">
        <v>43222639</v>
      </c>
      <c r="B1197" s="72" t="s">
        <v>746</v>
      </c>
      <c r="C1197" s="73">
        <v>20000</v>
      </c>
    </row>
    <row r="1198" spans="1:3">
      <c r="A1198" s="55">
        <v>43222687</v>
      </c>
      <c r="B1198" s="72" t="s">
        <v>747</v>
      </c>
      <c r="C1198" s="73">
        <v>40000</v>
      </c>
    </row>
    <row r="1199" spans="1:3">
      <c r="A1199" s="55">
        <v>43222688</v>
      </c>
      <c r="B1199" s="72" t="s">
        <v>748</v>
      </c>
      <c r="C1199" s="73">
        <v>25000</v>
      </c>
    </row>
    <row r="1200" spans="1:3">
      <c r="A1200" s="55">
        <v>43222689</v>
      </c>
      <c r="B1200" s="72" t="s">
        <v>749</v>
      </c>
      <c r="C1200" s="73">
        <v>65000</v>
      </c>
    </row>
    <row r="1201" spans="1:3">
      <c r="A1201" s="55">
        <v>43222690</v>
      </c>
      <c r="B1201" s="72" t="s">
        <v>750</v>
      </c>
      <c r="C1201" s="73">
        <f>10000+10000</f>
        <v>20000</v>
      </c>
    </row>
    <row r="1202" spans="1:3">
      <c r="A1202" s="55">
        <v>43222692</v>
      </c>
      <c r="B1202" s="72" t="s">
        <v>751</v>
      </c>
      <c r="C1202" s="73">
        <v>3000</v>
      </c>
    </row>
    <row r="1203" spans="1:3">
      <c r="A1203" s="55">
        <v>43222693</v>
      </c>
      <c r="B1203" s="72" t="s">
        <v>752</v>
      </c>
      <c r="C1203" s="73">
        <f>27000+9000</f>
        <v>36000</v>
      </c>
    </row>
    <row r="1204" spans="1:3">
      <c r="A1204" s="55">
        <v>43222694</v>
      </c>
      <c r="B1204" s="72" t="s">
        <v>753</v>
      </c>
      <c r="C1204" s="73">
        <f>47300+48000</f>
        <v>95300</v>
      </c>
    </row>
    <row r="1205" spans="1:3">
      <c r="A1205" s="55">
        <v>43222696</v>
      </c>
      <c r="B1205" s="72" t="s">
        <v>754</v>
      </c>
      <c r="C1205" s="73">
        <v>20000</v>
      </c>
    </row>
    <row r="1206" spans="1:3">
      <c r="A1206" s="55">
        <v>43222697</v>
      </c>
      <c r="B1206" s="72" t="s">
        <v>755</v>
      </c>
      <c r="C1206" s="73">
        <v>25000</v>
      </c>
    </row>
    <row r="1207" spans="1:3">
      <c r="A1207" s="55">
        <v>43222698</v>
      </c>
      <c r="B1207" s="72" t="s">
        <v>756</v>
      </c>
      <c r="C1207" s="73">
        <v>400000</v>
      </c>
    </row>
    <row r="1208" spans="1:3">
      <c r="A1208" s="55">
        <v>43222699</v>
      </c>
      <c r="B1208" s="72" t="s">
        <v>20</v>
      </c>
      <c r="C1208" s="73">
        <v>2000</v>
      </c>
    </row>
    <row r="1209" spans="1:3">
      <c r="A1209" s="55">
        <v>43222706</v>
      </c>
      <c r="B1209" s="72" t="s">
        <v>82</v>
      </c>
      <c r="C1209" s="73">
        <v>25000</v>
      </c>
    </row>
    <row r="1210" spans="1:3">
      <c r="A1210" s="55">
        <v>43222707</v>
      </c>
      <c r="B1210" s="72" t="s">
        <v>757</v>
      </c>
      <c r="C1210" s="73">
        <v>15000</v>
      </c>
    </row>
    <row r="1211" spans="1:3">
      <c r="A1211" s="55">
        <v>43222709</v>
      </c>
      <c r="B1211" s="72" t="s">
        <v>758</v>
      </c>
      <c r="C1211" s="112">
        <v>254250.06</v>
      </c>
    </row>
    <row r="1212" spans="1:3">
      <c r="A1212" s="55">
        <v>43222712</v>
      </c>
      <c r="B1212" s="72" t="s">
        <v>759</v>
      </c>
      <c r="C1212" s="73">
        <v>70000</v>
      </c>
    </row>
    <row r="1213" spans="1:3">
      <c r="A1213" s="55">
        <v>43222713</v>
      </c>
      <c r="B1213" s="72" t="s">
        <v>760</v>
      </c>
      <c r="C1213" s="73">
        <f>600000-100000</f>
        <v>500000</v>
      </c>
    </row>
    <row r="1214" spans="1:3">
      <c r="A1214" s="55">
        <v>43222715</v>
      </c>
      <c r="B1214" s="72" t="s">
        <v>761</v>
      </c>
      <c r="C1214" s="73">
        <v>30000</v>
      </c>
    </row>
    <row r="1215" spans="1:3">
      <c r="A1215" s="55">
        <v>43222716</v>
      </c>
      <c r="B1215" s="72" t="s">
        <v>762</v>
      </c>
      <c r="C1215" s="73">
        <v>60000</v>
      </c>
    </row>
    <row r="1216" spans="1:3">
      <c r="A1216" s="55">
        <v>43223020</v>
      </c>
      <c r="B1216" s="72" t="s">
        <v>37</v>
      </c>
      <c r="C1216" s="73">
        <v>20000</v>
      </c>
    </row>
    <row r="1217" spans="1:3">
      <c r="A1217" s="55">
        <v>43223120</v>
      </c>
      <c r="B1217" s="72" t="s">
        <v>763</v>
      </c>
      <c r="C1217" s="73">
        <v>10000</v>
      </c>
    </row>
    <row r="1218" spans="1:3">
      <c r="A1218" s="79"/>
      <c r="B1218" s="8" t="s">
        <v>22</v>
      </c>
      <c r="C1218" s="81">
        <f>SUM(C1183:C1217)</f>
        <v>2226850.06</v>
      </c>
    </row>
    <row r="1219" spans="1:3">
      <c r="A1219" s="79"/>
      <c r="B1219" s="93"/>
      <c r="C1219" s="80"/>
    </row>
    <row r="1220" spans="1:3">
      <c r="A1220" s="60">
        <v>43244900</v>
      </c>
      <c r="B1220" s="61" t="s">
        <v>764</v>
      </c>
      <c r="C1220" s="137">
        <v>120000</v>
      </c>
    </row>
    <row r="1221" spans="1:3">
      <c r="A1221" s="60">
        <v>43246200</v>
      </c>
      <c r="B1221" s="61" t="s">
        <v>765</v>
      </c>
      <c r="C1221" s="137">
        <v>5000</v>
      </c>
    </row>
    <row r="1222" spans="1:3">
      <c r="A1222" s="60">
        <v>43246201</v>
      </c>
      <c r="B1222" s="61" t="s">
        <v>766</v>
      </c>
      <c r="C1222" s="137">
        <v>5000</v>
      </c>
    </row>
    <row r="1223" spans="1:3">
      <c r="A1223" s="60">
        <v>43248900</v>
      </c>
      <c r="B1223" s="61" t="s">
        <v>767</v>
      </c>
      <c r="C1223" s="74">
        <v>10000</v>
      </c>
    </row>
    <row r="1224" spans="1:3">
      <c r="A1224" s="60">
        <v>43248901</v>
      </c>
      <c r="B1224" s="61" t="s">
        <v>768</v>
      </c>
      <c r="C1224" s="74">
        <v>1000</v>
      </c>
    </row>
    <row r="1225" spans="1:3">
      <c r="A1225" s="60">
        <v>43248902</v>
      </c>
      <c r="B1225" s="61" t="s">
        <v>769</v>
      </c>
      <c r="C1225" s="74">
        <v>10000</v>
      </c>
    </row>
    <row r="1226" spans="1:3">
      <c r="A1226" s="60">
        <v>43248904</v>
      </c>
      <c r="B1226" s="61" t="s">
        <v>770</v>
      </c>
      <c r="C1226" s="74">
        <v>4000</v>
      </c>
    </row>
    <row r="1227" spans="1:3">
      <c r="A1227" s="60">
        <v>43248905</v>
      </c>
      <c r="B1227" s="61" t="s">
        <v>771</v>
      </c>
      <c r="C1227" s="74">
        <v>4000</v>
      </c>
    </row>
    <row r="1228" spans="1:3">
      <c r="A1228" s="60">
        <v>43248906</v>
      </c>
      <c r="B1228" s="61" t="s">
        <v>772</v>
      </c>
      <c r="C1228" s="74">
        <v>3000</v>
      </c>
    </row>
    <row r="1229" spans="1:3">
      <c r="A1229" s="60">
        <v>43248907</v>
      </c>
      <c r="B1229" s="61" t="s">
        <v>773</v>
      </c>
      <c r="C1229" s="74">
        <v>2000</v>
      </c>
    </row>
    <row r="1230" spans="1:3">
      <c r="A1230" s="75"/>
      <c r="B1230" s="63" t="s">
        <v>22</v>
      </c>
      <c r="C1230" s="64">
        <f>SUM(C1220:C1229)</f>
        <v>164000</v>
      </c>
    </row>
    <row r="1231" spans="1:3">
      <c r="A1231" s="79"/>
      <c r="B1231" s="93"/>
      <c r="C1231" s="80"/>
    </row>
    <row r="1232" spans="1:3">
      <c r="A1232" s="65">
        <v>43262500</v>
      </c>
      <c r="B1232" s="66" t="s">
        <v>372</v>
      </c>
      <c r="C1232" s="67">
        <v>2000</v>
      </c>
    </row>
    <row r="1233" spans="1:3">
      <c r="A1233" s="65">
        <v>43262600</v>
      </c>
      <c r="B1233" s="186" t="s">
        <v>373</v>
      </c>
      <c r="C1233" s="67">
        <v>1500</v>
      </c>
    </row>
    <row r="1234" spans="1:3">
      <c r="A1234" s="65">
        <v>43262704</v>
      </c>
      <c r="B1234" s="186" t="s">
        <v>774</v>
      </c>
      <c r="C1234" s="67">
        <v>100000</v>
      </c>
    </row>
    <row r="1235" spans="1:3">
      <c r="A1235" s="65">
        <v>43262706</v>
      </c>
      <c r="B1235" s="186" t="s">
        <v>775</v>
      </c>
      <c r="C1235" s="67">
        <v>400000</v>
      </c>
    </row>
    <row r="1236" spans="1:3">
      <c r="A1236" s="65">
        <v>43265000</v>
      </c>
      <c r="B1236" s="186" t="s">
        <v>776</v>
      </c>
      <c r="C1236" s="67">
        <v>117391.31</v>
      </c>
    </row>
    <row r="1237" spans="1:3">
      <c r="A1237" s="68"/>
      <c r="B1237" s="69" t="s">
        <v>22</v>
      </c>
      <c r="C1237" s="70">
        <f>SUM(C1232:C1236)</f>
        <v>620891.31000000006</v>
      </c>
    </row>
    <row r="1238" spans="1:3">
      <c r="A1238" s="76"/>
      <c r="B1238" s="77"/>
      <c r="C1238" s="78"/>
    </row>
    <row r="1239" spans="1:3">
      <c r="A1239" s="119">
        <v>43276201</v>
      </c>
      <c r="B1239" s="187" t="s">
        <v>777</v>
      </c>
      <c r="C1239" s="121">
        <v>50000</v>
      </c>
    </row>
    <row r="1240" spans="1:3">
      <c r="A1240" s="119">
        <v>43276202</v>
      </c>
      <c r="B1240" s="187" t="s">
        <v>778</v>
      </c>
      <c r="C1240" s="121">
        <v>140000</v>
      </c>
    </row>
    <row r="1241" spans="1:3">
      <c r="A1241" s="119">
        <v>43276204</v>
      </c>
      <c r="B1241" s="187" t="s">
        <v>779</v>
      </c>
      <c r="C1241" s="121">
        <v>32000</v>
      </c>
    </row>
    <row r="1242" spans="1:3">
      <c r="A1242" s="119">
        <v>43276207</v>
      </c>
      <c r="B1242" s="187" t="s">
        <v>780</v>
      </c>
      <c r="C1242" s="121">
        <v>85000</v>
      </c>
    </row>
    <row r="1243" spans="1:3">
      <c r="A1243" s="136"/>
      <c r="B1243" s="123" t="s">
        <v>22</v>
      </c>
      <c r="C1243" s="124">
        <f>SUM(C1239:C1242)</f>
        <v>307000</v>
      </c>
    </row>
    <row r="1244" spans="1:3">
      <c r="A1244" s="76"/>
      <c r="B1244" s="77"/>
      <c r="C1244" s="78"/>
    </row>
    <row r="1245" spans="1:3">
      <c r="A1245" s="13"/>
      <c r="B1245" s="53" t="s">
        <v>781</v>
      </c>
      <c r="C1245" s="54"/>
    </row>
    <row r="1246" spans="1:3">
      <c r="A1246" s="79"/>
      <c r="B1246" s="93"/>
      <c r="C1246" s="80"/>
    </row>
    <row r="1247" spans="1:3">
      <c r="A1247" s="60">
        <v>43944900</v>
      </c>
      <c r="B1247" s="61" t="s">
        <v>782</v>
      </c>
      <c r="C1247" s="139">
        <f>230000+40000</f>
        <v>270000</v>
      </c>
    </row>
    <row r="1248" spans="1:3">
      <c r="A1248" s="60">
        <v>43944901</v>
      </c>
      <c r="B1248" s="61" t="s">
        <v>783</v>
      </c>
      <c r="C1248" s="139">
        <v>40000</v>
      </c>
    </row>
    <row r="1249" spans="1:3">
      <c r="A1249" s="60">
        <v>43944902</v>
      </c>
      <c r="B1249" s="61" t="s">
        <v>784</v>
      </c>
      <c r="C1249" s="139">
        <v>40000</v>
      </c>
    </row>
    <row r="1250" spans="1:3">
      <c r="A1250" s="60">
        <v>43944903</v>
      </c>
      <c r="B1250" s="61" t="s">
        <v>785</v>
      </c>
      <c r="C1250" s="139">
        <v>180000</v>
      </c>
    </row>
    <row r="1251" spans="1:3">
      <c r="A1251" s="60">
        <v>43944905</v>
      </c>
      <c r="B1251" s="61" t="s">
        <v>786</v>
      </c>
      <c r="C1251" s="139">
        <v>126000</v>
      </c>
    </row>
    <row r="1252" spans="1:3">
      <c r="A1252" s="60">
        <v>43944906</v>
      </c>
      <c r="B1252" s="61" t="s">
        <v>787</v>
      </c>
      <c r="C1252" s="139">
        <v>35000</v>
      </c>
    </row>
    <row r="1253" spans="1:3">
      <c r="A1253" s="60">
        <v>43944907</v>
      </c>
      <c r="B1253" s="61" t="s">
        <v>788</v>
      </c>
      <c r="C1253" s="139">
        <v>20000</v>
      </c>
    </row>
    <row r="1254" spans="1:3">
      <c r="A1254" s="75"/>
      <c r="B1254" s="63" t="s">
        <v>22</v>
      </c>
      <c r="C1254" s="64">
        <f>SUM(C1247:C1253)</f>
        <v>711000</v>
      </c>
    </row>
    <row r="1255" spans="1:3">
      <c r="A1255" s="79"/>
      <c r="B1255" s="93"/>
      <c r="C1255" s="80"/>
    </row>
    <row r="1256" spans="1:3">
      <c r="A1256" s="13"/>
      <c r="B1256" s="53" t="s">
        <v>789</v>
      </c>
      <c r="C1256" s="54"/>
    </row>
    <row r="1257" spans="1:3">
      <c r="A1257" s="79"/>
      <c r="B1257" s="79"/>
      <c r="C1257" s="80"/>
    </row>
    <row r="1258" spans="1:3">
      <c r="A1258" s="83">
        <v>44012000</v>
      </c>
      <c r="B1258" s="84" t="s">
        <v>49</v>
      </c>
      <c r="C1258" s="85">
        <v>32011.47</v>
      </c>
    </row>
    <row r="1259" spans="1:3">
      <c r="A1259" s="83">
        <v>44012003</v>
      </c>
      <c r="B1259" s="84" t="s">
        <v>51</v>
      </c>
      <c r="C1259" s="85">
        <v>21179.41</v>
      </c>
    </row>
    <row r="1260" spans="1:3">
      <c r="A1260" s="83">
        <v>44012004</v>
      </c>
      <c r="B1260" s="84" t="s">
        <v>72</v>
      </c>
      <c r="C1260" s="85">
        <v>44489.93</v>
      </c>
    </row>
    <row r="1261" spans="1:3">
      <c r="A1261" s="83">
        <v>44012006</v>
      </c>
      <c r="B1261" s="84" t="s">
        <v>53</v>
      </c>
      <c r="C1261" s="85">
        <v>17175.240000000002</v>
      </c>
    </row>
    <row r="1262" spans="1:3">
      <c r="A1262" s="83">
        <v>44012100</v>
      </c>
      <c r="B1262" s="84" t="s">
        <v>54</v>
      </c>
      <c r="C1262" s="85">
        <v>63135.73</v>
      </c>
    </row>
    <row r="1263" spans="1:3">
      <c r="A1263" s="83">
        <v>44012101</v>
      </c>
      <c r="B1263" s="84" t="s">
        <v>55</v>
      </c>
      <c r="C1263" s="85">
        <v>78166.77</v>
      </c>
    </row>
    <row r="1264" spans="1:3">
      <c r="A1264" s="83">
        <v>44012103</v>
      </c>
      <c r="B1264" s="84" t="s">
        <v>56</v>
      </c>
      <c r="C1264" s="85">
        <v>54694.69</v>
      </c>
    </row>
    <row r="1265" spans="1:3">
      <c r="A1265" s="83">
        <v>44013000</v>
      </c>
      <c r="B1265" s="84" t="s">
        <v>790</v>
      </c>
      <c r="C1265" s="85">
        <v>14461.95</v>
      </c>
    </row>
    <row r="1266" spans="1:3">
      <c r="A1266" s="83">
        <v>44013002</v>
      </c>
      <c r="B1266" s="84" t="s">
        <v>112</v>
      </c>
      <c r="C1266" s="85">
        <v>21374.18</v>
      </c>
    </row>
    <row r="1267" spans="1:3">
      <c r="A1267" s="83">
        <v>44015000</v>
      </c>
      <c r="B1267" s="84" t="s">
        <v>57</v>
      </c>
      <c r="C1267" s="85">
        <v>1872.8</v>
      </c>
    </row>
    <row r="1268" spans="1:3">
      <c r="A1268" s="83">
        <v>44016000</v>
      </c>
      <c r="B1268" s="84" t="s">
        <v>58</v>
      </c>
      <c r="C1268" s="85">
        <v>99638.39</v>
      </c>
    </row>
    <row r="1269" spans="1:3">
      <c r="A1269" s="84"/>
      <c r="B1269" s="11" t="s">
        <v>22</v>
      </c>
      <c r="C1269" s="86">
        <f>SUM(C1258:C1268)</f>
        <v>448200.56</v>
      </c>
    </row>
    <row r="1270" spans="1:3">
      <c r="A1270" s="79"/>
      <c r="B1270" s="8"/>
      <c r="C1270" s="80"/>
    </row>
    <row r="1271" spans="1:3">
      <c r="A1271" s="55">
        <v>44021600</v>
      </c>
      <c r="B1271" s="72" t="s">
        <v>791</v>
      </c>
      <c r="C1271" s="73">
        <v>20000</v>
      </c>
    </row>
    <row r="1272" spans="1:3">
      <c r="A1272" s="55">
        <v>44022000</v>
      </c>
      <c r="B1272" s="72" t="s">
        <v>59</v>
      </c>
      <c r="C1272" s="73">
        <v>1200</v>
      </c>
    </row>
    <row r="1273" spans="1:3">
      <c r="A1273" s="55">
        <v>44022300</v>
      </c>
      <c r="B1273" s="72" t="s">
        <v>79</v>
      </c>
      <c r="C1273" s="73">
        <v>500</v>
      </c>
    </row>
    <row r="1274" spans="1:3">
      <c r="A1274" s="55">
        <v>44022602</v>
      </c>
      <c r="B1274" s="72" t="s">
        <v>31</v>
      </c>
      <c r="C1274" s="73">
        <v>2200</v>
      </c>
    </row>
    <row r="1275" spans="1:3">
      <c r="A1275" s="55">
        <v>44022699</v>
      </c>
      <c r="B1275" s="72" t="s">
        <v>67</v>
      </c>
      <c r="C1275" s="73">
        <v>8600</v>
      </c>
    </row>
    <row r="1276" spans="1:3">
      <c r="A1276" s="79"/>
      <c r="B1276" s="8" t="s">
        <v>22</v>
      </c>
      <c r="C1276" s="81">
        <f>SUM(C1271:C1275)</f>
        <v>32500</v>
      </c>
    </row>
    <row r="1277" spans="1:3">
      <c r="A1277" s="79"/>
      <c r="B1277" s="56"/>
      <c r="C1277" s="78"/>
    </row>
    <row r="1278" spans="1:3">
      <c r="A1278" s="13"/>
      <c r="B1278" s="53" t="s">
        <v>792</v>
      </c>
      <c r="C1278" s="54"/>
    </row>
    <row r="1279" spans="1:3">
      <c r="A1279" s="79"/>
      <c r="B1279" s="93"/>
      <c r="C1279" s="188"/>
    </row>
    <row r="1280" spans="1:3">
      <c r="A1280" s="55">
        <v>44121200</v>
      </c>
      <c r="B1280" s="58" t="s">
        <v>793</v>
      </c>
      <c r="C1280" s="54">
        <v>34000</v>
      </c>
    </row>
    <row r="1281" spans="1:3">
      <c r="A1281" s="55">
        <v>44121900</v>
      </c>
      <c r="B1281" s="58" t="s">
        <v>794</v>
      </c>
      <c r="C1281" s="54">
        <v>300000</v>
      </c>
    </row>
    <row r="1282" spans="1:3">
      <c r="A1282" s="79"/>
      <c r="B1282" s="8" t="s">
        <v>22</v>
      </c>
      <c r="C1282" s="81">
        <f>SUM(C1280:C1281)</f>
        <v>334000</v>
      </c>
    </row>
    <row r="1283" spans="1:3">
      <c r="A1283" s="79"/>
      <c r="B1283" s="93"/>
      <c r="C1283" s="188"/>
    </row>
    <row r="1284" spans="1:3">
      <c r="A1284" s="60">
        <v>44147200</v>
      </c>
      <c r="B1284" s="61" t="s">
        <v>795</v>
      </c>
      <c r="C1284" s="74">
        <v>2000000</v>
      </c>
    </row>
    <row r="1285" spans="1:3">
      <c r="A1285" s="60">
        <v>44147201</v>
      </c>
      <c r="B1285" s="61" t="s">
        <v>796</v>
      </c>
      <c r="C1285" s="74">
        <v>324156.62</v>
      </c>
    </row>
    <row r="1286" spans="1:3">
      <c r="A1286" s="60">
        <v>44147202</v>
      </c>
      <c r="B1286" s="61" t="s">
        <v>797</v>
      </c>
      <c r="C1286" s="74">
        <v>1000</v>
      </c>
    </row>
    <row r="1287" spans="1:3">
      <c r="A1287" s="60">
        <v>44147203</v>
      </c>
      <c r="B1287" s="61" t="s">
        <v>798</v>
      </c>
      <c r="C1287" s="74">
        <v>298037.57</v>
      </c>
    </row>
    <row r="1288" spans="1:3">
      <c r="A1288" s="60">
        <v>44147204</v>
      </c>
      <c r="B1288" s="61" t="s">
        <v>799</v>
      </c>
      <c r="C1288" s="74">
        <v>1000</v>
      </c>
    </row>
    <row r="1289" spans="1:3">
      <c r="A1289" s="75"/>
      <c r="B1289" s="63" t="s">
        <v>22</v>
      </c>
      <c r="C1289" s="64">
        <f>SUM(C1284:C1288)</f>
        <v>2624194.19</v>
      </c>
    </row>
    <row r="1290" spans="1:3">
      <c r="A1290" s="79"/>
      <c r="B1290" s="93"/>
      <c r="C1290" s="188"/>
    </row>
    <row r="1291" spans="1:3">
      <c r="A1291" s="65">
        <v>44162500</v>
      </c>
      <c r="B1291" s="66" t="s">
        <v>372</v>
      </c>
      <c r="C1291" s="67">
        <v>100</v>
      </c>
    </row>
    <row r="1292" spans="1:3">
      <c r="A1292" s="65">
        <v>44162600</v>
      </c>
      <c r="B1292" s="66" t="s">
        <v>800</v>
      </c>
      <c r="C1292" s="67">
        <v>400</v>
      </c>
    </row>
    <row r="1293" spans="1:3">
      <c r="A1293" s="65">
        <v>44162700</v>
      </c>
      <c r="B1293" s="66" t="s">
        <v>801</v>
      </c>
      <c r="C1293" s="67">
        <v>500</v>
      </c>
    </row>
    <row r="1294" spans="1:3">
      <c r="A1294" s="68"/>
      <c r="B1294" s="69" t="s">
        <v>22</v>
      </c>
      <c r="C1294" s="70">
        <f>SUM(C1291:C1293)</f>
        <v>1000</v>
      </c>
    </row>
    <row r="1295" spans="1:3">
      <c r="A1295" s="76"/>
      <c r="B1295" s="77"/>
      <c r="C1295" s="81"/>
    </row>
    <row r="1296" spans="1:3">
      <c r="A1296" s="13"/>
      <c r="B1296" s="53" t="s">
        <v>802</v>
      </c>
      <c r="C1296" s="54"/>
    </row>
    <row r="1297" spans="1:3">
      <c r="A1297" s="76"/>
      <c r="B1297" s="77"/>
      <c r="C1297" s="81"/>
    </row>
    <row r="1298" spans="1:3">
      <c r="A1298" s="65">
        <v>44262200</v>
      </c>
      <c r="B1298" s="66" t="s">
        <v>803</v>
      </c>
      <c r="C1298" s="67">
        <v>34000</v>
      </c>
    </row>
    <row r="1299" spans="1:3">
      <c r="A1299" s="68"/>
      <c r="B1299" s="69" t="s">
        <v>22</v>
      </c>
      <c r="C1299" s="70">
        <f>SUM(C1298:C1298)</f>
        <v>34000</v>
      </c>
    </row>
    <row r="1300" spans="1:3">
      <c r="A1300" s="76"/>
      <c r="B1300" s="77"/>
      <c r="C1300" s="81"/>
    </row>
    <row r="1301" spans="1:3">
      <c r="A1301" s="13"/>
      <c r="B1301" s="53" t="s">
        <v>804</v>
      </c>
      <c r="C1301" s="54"/>
    </row>
    <row r="1302" spans="1:3">
      <c r="A1302" s="79"/>
      <c r="B1302" s="79"/>
      <c r="C1302" s="80"/>
    </row>
    <row r="1303" spans="1:3">
      <c r="A1303" s="83">
        <v>45012000</v>
      </c>
      <c r="B1303" s="84" t="s">
        <v>49</v>
      </c>
      <c r="C1303" s="85">
        <v>54686.26</v>
      </c>
    </row>
    <row r="1304" spans="1:3">
      <c r="A1304" s="83">
        <v>45012001</v>
      </c>
      <c r="B1304" s="84" t="s">
        <v>50</v>
      </c>
      <c r="C1304" s="85">
        <v>41879.19</v>
      </c>
    </row>
    <row r="1305" spans="1:3">
      <c r="A1305" s="83">
        <v>45012003</v>
      </c>
      <c r="B1305" s="84" t="s">
        <v>51</v>
      </c>
      <c r="C1305" s="85">
        <v>31769.11</v>
      </c>
    </row>
    <row r="1306" spans="1:3">
      <c r="A1306" s="83">
        <v>45012004</v>
      </c>
      <c r="B1306" s="84" t="s">
        <v>72</v>
      </c>
      <c r="C1306" s="85">
        <v>35591.94</v>
      </c>
    </row>
    <row r="1307" spans="1:3">
      <c r="A1307" s="83">
        <v>45012005</v>
      </c>
      <c r="B1307" s="84" t="s">
        <v>621</v>
      </c>
      <c r="C1307" s="85">
        <v>8149.53</v>
      </c>
    </row>
    <row r="1308" spans="1:3">
      <c r="A1308" s="83">
        <v>45012006</v>
      </c>
      <c r="B1308" s="84" t="s">
        <v>53</v>
      </c>
      <c r="C1308" s="85">
        <v>38758.559999999998</v>
      </c>
    </row>
    <row r="1309" spans="1:3">
      <c r="A1309" s="83">
        <v>45012100</v>
      </c>
      <c r="B1309" s="84" t="s">
        <v>54</v>
      </c>
      <c r="C1309" s="85">
        <v>111381.19</v>
      </c>
    </row>
    <row r="1310" spans="1:3">
      <c r="A1310" s="83">
        <v>45012101</v>
      </c>
      <c r="B1310" s="84" t="s">
        <v>55</v>
      </c>
      <c r="C1310" s="85">
        <v>145872.39000000001</v>
      </c>
    </row>
    <row r="1311" spans="1:3">
      <c r="A1311" s="83">
        <v>45012103</v>
      </c>
      <c r="B1311" s="84" t="s">
        <v>56</v>
      </c>
      <c r="C1311" s="85">
        <v>103585.06</v>
      </c>
    </row>
    <row r="1312" spans="1:3">
      <c r="A1312" s="83">
        <v>45013000</v>
      </c>
      <c r="B1312" s="84" t="s">
        <v>111</v>
      </c>
      <c r="C1312" s="85">
        <f>371375.96-5178.34-4351.09-3985.1-3985.1-3985.1</f>
        <v>349891.23000000004</v>
      </c>
    </row>
    <row r="1313" spans="1:3">
      <c r="A1313" s="83">
        <v>45013001</v>
      </c>
      <c r="B1313" s="84" t="s">
        <v>805</v>
      </c>
      <c r="C1313" s="85">
        <v>10000</v>
      </c>
    </row>
    <row r="1314" spans="1:3">
      <c r="A1314" s="83">
        <v>45013002</v>
      </c>
      <c r="B1314" s="84" t="s">
        <v>112</v>
      </c>
      <c r="C1314" s="85">
        <f>577225.57-9823.53-6811.29-6573.89-6573.89-6573.89</f>
        <v>540869.07999999984</v>
      </c>
    </row>
    <row r="1315" spans="1:3">
      <c r="A1315" s="83">
        <v>45013100</v>
      </c>
      <c r="B1315" s="84" t="s">
        <v>113</v>
      </c>
      <c r="C1315" s="85">
        <v>31471.53</v>
      </c>
    </row>
    <row r="1316" spans="1:3">
      <c r="A1316" s="83">
        <v>45015000</v>
      </c>
      <c r="B1316" s="84" t="s">
        <v>57</v>
      </c>
      <c r="C1316" s="85">
        <v>10113.120000000001</v>
      </c>
    </row>
    <row r="1317" spans="1:3">
      <c r="A1317" s="83">
        <v>45016000</v>
      </c>
      <c r="B1317" s="84" t="s">
        <v>58</v>
      </c>
      <c r="C1317" s="85">
        <f>513317.74-93.64-93.64-93.64-93.64-93.64</f>
        <v>512849.53999999992</v>
      </c>
    </row>
    <row r="1318" spans="1:3">
      <c r="A1318" s="84"/>
      <c r="B1318" s="11" t="s">
        <v>22</v>
      </c>
      <c r="C1318" s="86">
        <f>SUM(C1303:C1317)</f>
        <v>2026867.73</v>
      </c>
    </row>
    <row r="1319" spans="1:3">
      <c r="A1319" s="76"/>
      <c r="B1319" s="77"/>
      <c r="C1319" s="133"/>
    </row>
    <row r="1320" spans="1:3">
      <c r="A1320" s="55">
        <v>45021600</v>
      </c>
      <c r="B1320" s="72" t="s">
        <v>806</v>
      </c>
      <c r="C1320" s="73">
        <v>3200</v>
      </c>
    </row>
    <row r="1321" spans="1:3">
      <c r="A1321" s="55">
        <v>45022000</v>
      </c>
      <c r="B1321" s="72" t="s">
        <v>59</v>
      </c>
      <c r="C1321" s="73">
        <v>4000</v>
      </c>
    </row>
    <row r="1322" spans="1:3">
      <c r="A1322" s="55">
        <v>45022001</v>
      </c>
      <c r="B1322" s="72" t="s">
        <v>60</v>
      </c>
      <c r="C1322" s="73">
        <v>650</v>
      </c>
    </row>
    <row r="1323" spans="1:3">
      <c r="A1323" s="55">
        <v>45022300</v>
      </c>
      <c r="B1323" s="72" t="s">
        <v>79</v>
      </c>
      <c r="C1323" s="73">
        <v>700</v>
      </c>
    </row>
    <row r="1324" spans="1:3">
      <c r="A1324" s="55">
        <v>45022602</v>
      </c>
      <c r="B1324" s="72" t="s">
        <v>31</v>
      </c>
      <c r="C1324" s="73">
        <v>8000</v>
      </c>
    </row>
    <row r="1325" spans="1:3">
      <c r="A1325" s="79"/>
      <c r="B1325" s="8" t="s">
        <v>22</v>
      </c>
      <c r="C1325" s="81">
        <f>SUM(C1320:C1324)</f>
        <v>16550</v>
      </c>
    </row>
    <row r="1326" spans="1:3">
      <c r="A1326" s="79"/>
      <c r="B1326" s="8"/>
      <c r="C1326" s="81"/>
    </row>
    <row r="1327" spans="1:3">
      <c r="A1327" s="97">
        <v>45035200</v>
      </c>
      <c r="B1327" s="98" t="s">
        <v>807</v>
      </c>
      <c r="C1327" s="99">
        <v>1000</v>
      </c>
    </row>
    <row r="1328" spans="1:3">
      <c r="A1328" s="100"/>
      <c r="B1328" s="101" t="s">
        <v>22</v>
      </c>
      <c r="C1328" s="102">
        <f>SUM(C1327)</f>
        <v>1000</v>
      </c>
    </row>
    <row r="1329" spans="1:3">
      <c r="A1329" s="79"/>
      <c r="B1329" s="8"/>
      <c r="C1329" s="81"/>
    </row>
    <row r="1330" spans="1:3">
      <c r="A1330" s="13"/>
      <c r="B1330" s="53" t="s">
        <v>808</v>
      </c>
      <c r="C1330" s="54"/>
    </row>
    <row r="1331" spans="1:3">
      <c r="A1331" s="79"/>
      <c r="B1331" s="8"/>
      <c r="C1331" s="81"/>
    </row>
    <row r="1332" spans="1:3">
      <c r="A1332" s="60">
        <v>45241000</v>
      </c>
      <c r="B1332" s="61" t="s">
        <v>809</v>
      </c>
      <c r="C1332" s="139">
        <v>938091.8</v>
      </c>
    </row>
    <row r="1333" spans="1:3">
      <c r="A1333" s="75"/>
      <c r="B1333" s="63" t="s">
        <v>22</v>
      </c>
      <c r="C1333" s="64">
        <f>SUM(C1332)</f>
        <v>938091.8</v>
      </c>
    </row>
    <row r="1334" spans="1:3">
      <c r="A1334" s="76"/>
      <c r="B1334" s="77"/>
      <c r="C1334" s="81"/>
    </row>
    <row r="1335" spans="1:3">
      <c r="A1335" s="119">
        <v>45271000</v>
      </c>
      <c r="B1335" s="135" t="s">
        <v>809</v>
      </c>
      <c r="C1335" s="189">
        <f>5481569.45+500000</f>
        <v>5981569.4500000002</v>
      </c>
    </row>
    <row r="1336" spans="1:3">
      <c r="A1336" s="136"/>
      <c r="B1336" s="123" t="s">
        <v>22</v>
      </c>
      <c r="C1336" s="124">
        <f>SUM(C1335:C1335)</f>
        <v>5981569.4500000002</v>
      </c>
    </row>
    <row r="1337" spans="1:3">
      <c r="A1337" s="79"/>
      <c r="B1337" s="79"/>
      <c r="C1337" s="80"/>
    </row>
    <row r="1338" spans="1:3">
      <c r="A1338" s="13"/>
      <c r="B1338" s="53" t="s">
        <v>810</v>
      </c>
      <c r="C1338" s="54"/>
    </row>
    <row r="1339" spans="1:3">
      <c r="A1339" s="79"/>
      <c r="B1339" s="79"/>
      <c r="C1339" s="80"/>
    </row>
    <row r="1340" spans="1:3">
      <c r="A1340" s="55">
        <v>45320300</v>
      </c>
      <c r="B1340" s="72" t="s">
        <v>811</v>
      </c>
      <c r="C1340" s="73">
        <v>150000</v>
      </c>
    </row>
    <row r="1341" spans="1:3">
      <c r="A1341" s="55">
        <v>45321000</v>
      </c>
      <c r="B1341" s="72" t="s">
        <v>812</v>
      </c>
      <c r="C1341" s="73">
        <v>60000</v>
      </c>
    </row>
    <row r="1342" spans="1:3">
      <c r="A1342" s="55">
        <v>45321001</v>
      </c>
      <c r="B1342" s="72" t="s">
        <v>813</v>
      </c>
      <c r="C1342" s="73">
        <f>500000-200000</f>
        <v>300000</v>
      </c>
    </row>
    <row r="1343" spans="1:3">
      <c r="A1343" s="55">
        <v>45321002</v>
      </c>
      <c r="B1343" s="72" t="s">
        <v>814</v>
      </c>
      <c r="C1343" s="73">
        <v>1000</v>
      </c>
    </row>
    <row r="1344" spans="1:3">
      <c r="A1344" s="55">
        <v>45321003</v>
      </c>
      <c r="B1344" s="72" t="s">
        <v>815</v>
      </c>
      <c r="C1344" s="73">
        <v>1500000</v>
      </c>
    </row>
    <row r="1345" spans="1:3">
      <c r="A1345" s="55">
        <v>45321004</v>
      </c>
      <c r="B1345" s="72" t="s">
        <v>816</v>
      </c>
      <c r="C1345" s="73">
        <v>200000</v>
      </c>
    </row>
    <row r="1346" spans="1:3">
      <c r="A1346" s="55">
        <v>45321300</v>
      </c>
      <c r="B1346" s="72" t="s">
        <v>119</v>
      </c>
      <c r="C1346" s="73">
        <v>4000</v>
      </c>
    </row>
    <row r="1347" spans="1:3">
      <c r="A1347" s="55">
        <v>45321400</v>
      </c>
      <c r="B1347" s="72" t="s">
        <v>817</v>
      </c>
      <c r="C1347" s="73">
        <v>20000</v>
      </c>
    </row>
    <row r="1348" spans="1:3">
      <c r="A1348" s="55">
        <v>45322002</v>
      </c>
      <c r="B1348" s="72" t="s">
        <v>61</v>
      </c>
      <c r="C1348" s="73">
        <v>3000</v>
      </c>
    </row>
    <row r="1349" spans="1:3">
      <c r="A1349" s="55">
        <v>45322100</v>
      </c>
      <c r="B1349" s="72" t="s">
        <v>818</v>
      </c>
      <c r="C1349" s="73">
        <v>350000</v>
      </c>
    </row>
    <row r="1350" spans="1:3">
      <c r="A1350" s="55">
        <v>45322101</v>
      </c>
      <c r="B1350" s="72" t="s">
        <v>819</v>
      </c>
      <c r="C1350" s="73">
        <v>30000</v>
      </c>
    </row>
    <row r="1351" spans="1:3">
      <c r="A1351" s="55">
        <v>45322103</v>
      </c>
      <c r="B1351" s="72" t="s">
        <v>820</v>
      </c>
      <c r="C1351" s="73">
        <v>65000</v>
      </c>
    </row>
    <row r="1352" spans="1:3">
      <c r="A1352" s="55">
        <v>45322104</v>
      </c>
      <c r="B1352" s="72" t="s">
        <v>821</v>
      </c>
      <c r="C1352" s="73">
        <v>11000</v>
      </c>
    </row>
    <row r="1353" spans="1:3">
      <c r="A1353" s="55">
        <v>45322111</v>
      </c>
      <c r="B1353" s="72" t="s">
        <v>822</v>
      </c>
      <c r="C1353" s="73">
        <v>20000</v>
      </c>
    </row>
    <row r="1354" spans="1:3">
      <c r="A1354" s="55">
        <v>45322502</v>
      </c>
      <c r="B1354" s="72" t="s">
        <v>823</v>
      </c>
      <c r="C1354" s="73">
        <v>5500</v>
      </c>
    </row>
    <row r="1355" spans="1:3">
      <c r="A1355" s="55">
        <v>45322610</v>
      </c>
      <c r="B1355" s="72" t="s">
        <v>824</v>
      </c>
      <c r="C1355" s="73">
        <v>10000</v>
      </c>
    </row>
    <row r="1356" spans="1:3">
      <c r="A1356" s="55">
        <v>45322611</v>
      </c>
      <c r="B1356" s="72" t="s">
        <v>825</v>
      </c>
      <c r="C1356" s="73">
        <v>20000</v>
      </c>
    </row>
    <row r="1357" spans="1:3">
      <c r="A1357" s="55">
        <v>45322699</v>
      </c>
      <c r="B1357" s="72" t="s">
        <v>20</v>
      </c>
      <c r="C1357" s="73">
        <v>1000</v>
      </c>
    </row>
    <row r="1358" spans="1:3">
      <c r="A1358" s="55">
        <v>45322706</v>
      </c>
      <c r="B1358" s="72" t="s">
        <v>82</v>
      </c>
      <c r="C1358" s="73">
        <v>10000</v>
      </c>
    </row>
    <row r="1359" spans="1:3">
      <c r="A1359" s="55">
        <v>45322707</v>
      </c>
      <c r="B1359" s="72" t="s">
        <v>826</v>
      </c>
      <c r="C1359" s="73">
        <v>10000</v>
      </c>
    </row>
    <row r="1360" spans="1:3">
      <c r="A1360" s="55">
        <v>45322710</v>
      </c>
      <c r="B1360" s="72" t="s">
        <v>827</v>
      </c>
      <c r="C1360" s="73">
        <v>60000</v>
      </c>
    </row>
    <row r="1361" spans="1:3">
      <c r="A1361" s="79"/>
      <c r="B1361" s="8" t="s">
        <v>22</v>
      </c>
      <c r="C1361" s="81">
        <f>SUM(C1340:C1360)</f>
        <v>2830500</v>
      </c>
    </row>
    <row r="1362" spans="1:3">
      <c r="A1362" s="79"/>
      <c r="B1362" s="93"/>
      <c r="C1362" s="188"/>
    </row>
    <row r="1363" spans="1:3">
      <c r="A1363" s="60">
        <v>45346201</v>
      </c>
      <c r="B1363" s="61" t="s">
        <v>828</v>
      </c>
      <c r="C1363" s="74">
        <v>250000</v>
      </c>
    </row>
    <row r="1364" spans="1:3">
      <c r="A1364" s="75"/>
      <c r="B1364" s="63" t="s">
        <v>22</v>
      </c>
      <c r="C1364" s="64">
        <f>SUM(C1363:C1363)</f>
        <v>250000</v>
      </c>
    </row>
    <row r="1365" spans="1:3">
      <c r="A1365" s="79"/>
      <c r="B1365" s="93"/>
      <c r="C1365" s="80"/>
    </row>
    <row r="1366" spans="1:3">
      <c r="A1366" s="65">
        <v>45361000</v>
      </c>
      <c r="B1366" s="66" t="s">
        <v>829</v>
      </c>
      <c r="C1366" s="67">
        <v>2500</v>
      </c>
    </row>
    <row r="1367" spans="1:3">
      <c r="A1367" s="65">
        <v>45361100</v>
      </c>
      <c r="B1367" s="66" t="s">
        <v>830</v>
      </c>
      <c r="C1367" s="67">
        <f>700000-500000</f>
        <v>200000</v>
      </c>
    </row>
    <row r="1368" spans="1:3">
      <c r="A1368" s="65">
        <v>45361103</v>
      </c>
      <c r="B1368" s="66" t="s">
        <v>831</v>
      </c>
      <c r="C1368" s="67">
        <f>750000-200000-54211.41</f>
        <v>495788.58999999997</v>
      </c>
    </row>
    <row r="1369" spans="1:3">
      <c r="A1369" s="65">
        <v>45361105</v>
      </c>
      <c r="B1369" s="66" t="s">
        <v>832</v>
      </c>
      <c r="C1369" s="67">
        <v>55000</v>
      </c>
    </row>
    <row r="1370" spans="1:3">
      <c r="A1370" s="65">
        <v>45361106</v>
      </c>
      <c r="B1370" s="66" t="s">
        <v>833</v>
      </c>
      <c r="C1370" s="67">
        <v>4724367.37</v>
      </c>
    </row>
    <row r="1371" spans="1:3">
      <c r="A1371" s="65">
        <v>45361107</v>
      </c>
      <c r="B1371" s="66" t="s">
        <v>834</v>
      </c>
      <c r="C1371" s="67">
        <v>200000</v>
      </c>
    </row>
    <row r="1372" spans="1:3">
      <c r="A1372" s="65">
        <v>45361108</v>
      </c>
      <c r="B1372" s="66" t="s">
        <v>835</v>
      </c>
      <c r="C1372" s="67">
        <v>4000000</v>
      </c>
    </row>
    <row r="1373" spans="1:3">
      <c r="A1373" s="65">
        <v>45362300</v>
      </c>
      <c r="B1373" s="66" t="s">
        <v>836</v>
      </c>
      <c r="C1373" s="67">
        <v>20000</v>
      </c>
    </row>
    <row r="1374" spans="1:3">
      <c r="A1374" s="65">
        <v>45362400</v>
      </c>
      <c r="B1374" s="66" t="s">
        <v>837</v>
      </c>
      <c r="C1374" s="67">
        <v>10000</v>
      </c>
    </row>
    <row r="1375" spans="1:3">
      <c r="A1375" s="65">
        <v>45362500</v>
      </c>
      <c r="B1375" s="66" t="s">
        <v>838</v>
      </c>
      <c r="C1375" s="67">
        <v>5000</v>
      </c>
    </row>
    <row r="1376" spans="1:3">
      <c r="A1376" s="65">
        <v>45362600</v>
      </c>
      <c r="B1376" s="66" t="s">
        <v>839</v>
      </c>
      <c r="C1376" s="67">
        <v>2000</v>
      </c>
    </row>
    <row r="1377" spans="1:3">
      <c r="A1377" s="65">
        <v>45362700</v>
      </c>
      <c r="B1377" s="66" t="s">
        <v>840</v>
      </c>
      <c r="C1377" s="67">
        <v>137418.65</v>
      </c>
    </row>
    <row r="1378" spans="1:3">
      <c r="A1378" s="65">
        <v>45365000</v>
      </c>
      <c r="B1378" s="66" t="s">
        <v>841</v>
      </c>
      <c r="C1378" s="67">
        <v>10000</v>
      </c>
    </row>
    <row r="1379" spans="1:3">
      <c r="A1379" s="68"/>
      <c r="B1379" s="69" t="s">
        <v>22</v>
      </c>
      <c r="C1379" s="70">
        <f>SUM(C1366:C1378)</f>
        <v>9862074.6100000013</v>
      </c>
    </row>
    <row r="1380" spans="1:3">
      <c r="A1380" s="79"/>
      <c r="B1380" s="93"/>
      <c r="C1380" s="80"/>
    </row>
    <row r="1381" spans="1:3">
      <c r="A1381" s="119">
        <v>45376201</v>
      </c>
      <c r="B1381" s="135" t="s">
        <v>842</v>
      </c>
      <c r="C1381" s="121">
        <v>2450000</v>
      </c>
    </row>
    <row r="1382" spans="1:3">
      <c r="A1382" s="136"/>
      <c r="B1382" s="123" t="s">
        <v>22</v>
      </c>
      <c r="C1382" s="124">
        <f>SUM(C1381:C1381)</f>
        <v>2450000</v>
      </c>
    </row>
    <row r="1383" spans="1:3">
      <c r="A1383" s="79"/>
      <c r="B1383" s="79"/>
      <c r="C1383" s="80"/>
    </row>
    <row r="1384" spans="1:3">
      <c r="A1384" s="13"/>
      <c r="B1384" s="53" t="s">
        <v>843</v>
      </c>
      <c r="C1384" s="54"/>
    </row>
    <row r="1385" spans="1:3">
      <c r="A1385" s="79"/>
      <c r="B1385" s="8"/>
      <c r="C1385" s="81"/>
    </row>
    <row r="1386" spans="1:3">
      <c r="A1386" s="190">
        <v>45965002</v>
      </c>
      <c r="B1386" s="191" t="s">
        <v>844</v>
      </c>
      <c r="C1386" s="192">
        <v>835287.74</v>
      </c>
    </row>
    <row r="1387" spans="1:3">
      <c r="A1387" s="190">
        <v>45965004</v>
      </c>
      <c r="B1387" s="191" t="s">
        <v>845</v>
      </c>
      <c r="C1387" s="192">
        <v>708829.68</v>
      </c>
    </row>
    <row r="1388" spans="1:3">
      <c r="A1388" s="193"/>
      <c r="B1388" s="194" t="s">
        <v>22</v>
      </c>
      <c r="C1388" s="195">
        <f>SUM(C1386:C1387)</f>
        <v>1544117.42</v>
      </c>
    </row>
    <row r="1389" spans="1:3">
      <c r="A1389" s="79"/>
      <c r="B1389" s="79"/>
      <c r="C1389" s="80"/>
    </row>
    <row r="1390" spans="1:3">
      <c r="A1390" s="13"/>
      <c r="B1390" s="53" t="s">
        <v>846</v>
      </c>
      <c r="C1390" s="54"/>
    </row>
    <row r="1391" spans="1:3">
      <c r="A1391" s="79"/>
      <c r="B1391" s="79"/>
      <c r="C1391" s="80"/>
    </row>
    <row r="1392" spans="1:3">
      <c r="A1392" s="83">
        <v>49112000</v>
      </c>
      <c r="B1392" s="105" t="s">
        <v>49</v>
      </c>
      <c r="C1392" s="196">
        <f>48017.2-7826.77</f>
        <v>40190.429999999993</v>
      </c>
    </row>
    <row r="1393" spans="1:3">
      <c r="A1393" s="83">
        <v>49112006</v>
      </c>
      <c r="B1393" s="105" t="s">
        <v>53</v>
      </c>
      <c r="C1393" s="196">
        <v>2828</v>
      </c>
    </row>
    <row r="1394" spans="1:3">
      <c r="A1394" s="83">
        <v>49112100</v>
      </c>
      <c r="B1394" s="105" t="s">
        <v>54</v>
      </c>
      <c r="C1394" s="196">
        <f>36309.57-4500.93</f>
        <v>31808.639999999999</v>
      </c>
    </row>
    <row r="1395" spans="1:3">
      <c r="A1395" s="83">
        <v>49112101</v>
      </c>
      <c r="B1395" s="105" t="s">
        <v>55</v>
      </c>
      <c r="C1395" s="196">
        <f>47286.45-5568.99</f>
        <v>41717.46</v>
      </c>
    </row>
    <row r="1396" spans="1:3">
      <c r="A1396" s="83">
        <v>49112103</v>
      </c>
      <c r="B1396" s="105" t="s">
        <v>56</v>
      </c>
      <c r="C1396" s="196">
        <f>28584.55-3748.44</f>
        <v>24836.11</v>
      </c>
    </row>
    <row r="1397" spans="1:3">
      <c r="A1397" s="83">
        <v>49113000</v>
      </c>
      <c r="B1397" s="105" t="s">
        <v>111</v>
      </c>
      <c r="C1397" s="196">
        <v>11751.38</v>
      </c>
    </row>
    <row r="1398" spans="1:3">
      <c r="A1398" s="83">
        <v>49113002</v>
      </c>
      <c r="B1398" s="105" t="s">
        <v>175</v>
      </c>
      <c r="C1398" s="196">
        <v>19168.169999999998</v>
      </c>
    </row>
    <row r="1399" spans="1:3">
      <c r="A1399" s="83">
        <v>49115000</v>
      </c>
      <c r="B1399" s="105" t="s">
        <v>57</v>
      </c>
      <c r="C1399" s="196">
        <v>936.4</v>
      </c>
    </row>
    <row r="1400" spans="1:3">
      <c r="A1400" s="83">
        <v>49116000</v>
      </c>
      <c r="B1400" s="105" t="s">
        <v>58</v>
      </c>
      <c r="C1400" s="196">
        <f>57004.38-93.64</f>
        <v>56910.74</v>
      </c>
    </row>
    <row r="1401" spans="1:3">
      <c r="A1401" s="84"/>
      <c r="B1401" s="11" t="s">
        <v>22</v>
      </c>
      <c r="C1401" s="94">
        <f>SUM(C1392:C1400)</f>
        <v>230147.33</v>
      </c>
    </row>
    <row r="1402" spans="1:3">
      <c r="A1402" s="79"/>
      <c r="B1402" s="79"/>
      <c r="C1402" s="80"/>
    </row>
    <row r="1403" spans="1:3">
      <c r="A1403" s="55">
        <v>49121700</v>
      </c>
      <c r="B1403" s="72" t="s">
        <v>847</v>
      </c>
      <c r="C1403" s="73">
        <v>5000</v>
      </c>
    </row>
    <row r="1404" spans="1:3">
      <c r="A1404" s="55">
        <v>49121900</v>
      </c>
      <c r="B1404" s="72" t="s">
        <v>848</v>
      </c>
      <c r="C1404" s="73">
        <v>60000</v>
      </c>
    </row>
    <row r="1405" spans="1:3">
      <c r="A1405" s="55">
        <v>49121901</v>
      </c>
      <c r="B1405" s="72" t="s">
        <v>849</v>
      </c>
      <c r="C1405" s="73">
        <v>20000</v>
      </c>
    </row>
    <row r="1406" spans="1:3">
      <c r="A1406" s="55">
        <v>49121902</v>
      </c>
      <c r="B1406" s="72" t="s">
        <v>850</v>
      </c>
      <c r="C1406" s="73">
        <v>5000</v>
      </c>
    </row>
    <row r="1407" spans="1:3">
      <c r="A1407" s="55">
        <v>49122000</v>
      </c>
      <c r="B1407" s="72" t="s">
        <v>29</v>
      </c>
      <c r="C1407" s="73">
        <v>3000</v>
      </c>
    </row>
    <row r="1408" spans="1:3">
      <c r="A1408" s="55">
        <v>49122002</v>
      </c>
      <c r="B1408" s="72" t="s">
        <v>534</v>
      </c>
      <c r="C1408" s="73">
        <v>10000</v>
      </c>
    </row>
    <row r="1409" spans="1:3">
      <c r="A1409" s="55">
        <v>49122500</v>
      </c>
      <c r="B1409" s="72" t="s">
        <v>851</v>
      </c>
      <c r="C1409" s="73">
        <v>5000</v>
      </c>
    </row>
    <row r="1410" spans="1:3">
      <c r="A1410" s="55">
        <v>49122602</v>
      </c>
      <c r="B1410" s="72" t="s">
        <v>31</v>
      </c>
      <c r="C1410" s="73">
        <v>10000</v>
      </c>
    </row>
    <row r="1411" spans="1:3">
      <c r="A1411" s="55">
        <v>49122606</v>
      </c>
      <c r="B1411" s="72" t="s">
        <v>232</v>
      </c>
      <c r="C1411" s="73">
        <v>20000</v>
      </c>
    </row>
    <row r="1412" spans="1:3">
      <c r="A1412" s="55">
        <v>49122610</v>
      </c>
      <c r="B1412" s="72" t="s">
        <v>852</v>
      </c>
      <c r="C1412" s="73">
        <v>10000</v>
      </c>
    </row>
    <row r="1413" spans="1:3">
      <c r="A1413" s="55">
        <v>49122615</v>
      </c>
      <c r="B1413" s="72" t="s">
        <v>853</v>
      </c>
      <c r="C1413" s="73">
        <v>12300</v>
      </c>
    </row>
    <row r="1414" spans="1:3">
      <c r="A1414" s="55">
        <v>49122706</v>
      </c>
      <c r="B1414" s="72" t="s">
        <v>82</v>
      </c>
      <c r="C1414" s="73">
        <v>20000</v>
      </c>
    </row>
    <row r="1415" spans="1:3">
      <c r="A1415" s="55">
        <v>49122709</v>
      </c>
      <c r="B1415" s="72" t="s">
        <v>854</v>
      </c>
      <c r="C1415" s="73">
        <v>10000</v>
      </c>
    </row>
    <row r="1416" spans="1:3">
      <c r="A1416" s="55">
        <v>49122710</v>
      </c>
      <c r="B1416" s="72" t="s">
        <v>855</v>
      </c>
      <c r="C1416" s="73">
        <v>150731.95000000001</v>
      </c>
    </row>
    <row r="1417" spans="1:3">
      <c r="A1417" s="79"/>
      <c r="B1417" s="8" t="s">
        <v>22</v>
      </c>
      <c r="C1417" s="81">
        <f>SUM(C1403:C1416)</f>
        <v>341031.95</v>
      </c>
    </row>
    <row r="1418" spans="1:3">
      <c r="A1418" s="79"/>
      <c r="B1418" s="8"/>
      <c r="C1418" s="81"/>
    </row>
    <row r="1419" spans="1:3">
      <c r="A1419" s="60">
        <v>49142200</v>
      </c>
      <c r="B1419" s="61" t="s">
        <v>856</v>
      </c>
      <c r="C1419" s="74">
        <v>90550</v>
      </c>
    </row>
    <row r="1420" spans="1:3">
      <c r="A1420" s="60">
        <v>49142201</v>
      </c>
      <c r="B1420" s="61" t="s">
        <v>857</v>
      </c>
      <c r="C1420" s="74">
        <v>100000</v>
      </c>
    </row>
    <row r="1421" spans="1:3">
      <c r="A1421" s="60">
        <v>49144900</v>
      </c>
      <c r="B1421" s="61" t="s">
        <v>858</v>
      </c>
      <c r="C1421" s="74">
        <v>25000</v>
      </c>
    </row>
    <row r="1422" spans="1:3">
      <c r="A1422" s="60">
        <v>49148900</v>
      </c>
      <c r="B1422" s="61" t="s">
        <v>859</v>
      </c>
      <c r="C1422" s="74">
        <v>5000</v>
      </c>
    </row>
    <row r="1423" spans="1:3">
      <c r="A1423" s="60">
        <v>49148901</v>
      </c>
      <c r="B1423" s="61" t="s">
        <v>860</v>
      </c>
      <c r="C1423" s="74">
        <v>3000</v>
      </c>
    </row>
    <row r="1424" spans="1:3">
      <c r="A1424" s="60">
        <v>49148902</v>
      </c>
      <c r="B1424" s="61" t="s">
        <v>861</v>
      </c>
      <c r="C1424" s="74">
        <v>3000</v>
      </c>
    </row>
    <row r="1425" spans="1:3">
      <c r="A1425" s="60">
        <v>49148903</v>
      </c>
      <c r="B1425" s="61" t="s">
        <v>862</v>
      </c>
      <c r="C1425" s="74">
        <v>40000</v>
      </c>
    </row>
    <row r="1426" spans="1:3">
      <c r="A1426" s="60"/>
      <c r="B1426" s="63" t="s">
        <v>22</v>
      </c>
      <c r="C1426" s="107">
        <f>SUM(C1419:C1425)</f>
        <v>266550</v>
      </c>
    </row>
    <row r="1427" spans="1:3">
      <c r="A1427" s="79"/>
      <c r="B1427" s="79"/>
      <c r="C1427" s="80"/>
    </row>
    <row r="1428" spans="1:3">
      <c r="A1428" s="65">
        <v>49162400</v>
      </c>
      <c r="B1428" s="66" t="s">
        <v>863</v>
      </c>
      <c r="C1428" s="128">
        <v>30000</v>
      </c>
    </row>
    <row r="1429" spans="1:3">
      <c r="A1429" s="65">
        <v>49162701</v>
      </c>
      <c r="B1429" s="66" t="s">
        <v>864</v>
      </c>
      <c r="C1429" s="128">
        <v>42000</v>
      </c>
    </row>
    <row r="1430" spans="1:3">
      <c r="A1430" s="127">
        <v>49162704</v>
      </c>
      <c r="B1430" s="68" t="s">
        <v>865</v>
      </c>
      <c r="C1430" s="128">
        <v>10000</v>
      </c>
    </row>
    <row r="1431" spans="1:3">
      <c r="A1431" s="127">
        <v>49162705</v>
      </c>
      <c r="B1431" s="68" t="s">
        <v>866</v>
      </c>
      <c r="C1431" s="128">
        <v>40000</v>
      </c>
    </row>
    <row r="1432" spans="1:3">
      <c r="A1432" s="127">
        <v>49162706</v>
      </c>
      <c r="B1432" s="68" t="s">
        <v>867</v>
      </c>
      <c r="C1432" s="128">
        <f>824877.11-150731.95-12300</f>
        <v>661845.15999999992</v>
      </c>
    </row>
    <row r="1433" spans="1:3">
      <c r="A1433" s="127">
        <v>49162707</v>
      </c>
      <c r="B1433" s="68" t="s">
        <v>868</v>
      </c>
      <c r="C1433" s="128">
        <v>185000</v>
      </c>
    </row>
    <row r="1434" spans="1:3">
      <c r="A1434" s="127">
        <v>49162708</v>
      </c>
      <c r="B1434" s="68" t="s">
        <v>869</v>
      </c>
      <c r="C1434" s="128">
        <v>200000</v>
      </c>
    </row>
    <row r="1435" spans="1:3">
      <c r="A1435" s="127">
        <v>49164100</v>
      </c>
      <c r="B1435" s="68" t="s">
        <v>870</v>
      </c>
      <c r="C1435" s="128">
        <v>6000</v>
      </c>
    </row>
    <row r="1436" spans="1:3">
      <c r="A1436" s="127">
        <v>49164101</v>
      </c>
      <c r="B1436" s="68" t="s">
        <v>871</v>
      </c>
      <c r="C1436" s="128">
        <v>20000</v>
      </c>
    </row>
    <row r="1437" spans="1:3">
      <c r="A1437" s="68"/>
      <c r="B1437" s="69" t="s">
        <v>22</v>
      </c>
      <c r="C1437" s="197">
        <f>SUM(C1428:C1436)</f>
        <v>1194845.1599999999</v>
      </c>
    </row>
    <row r="1438" spans="1:3">
      <c r="A1438" s="198"/>
      <c r="B1438" s="198"/>
      <c r="C1438" s="199"/>
    </row>
    <row r="1439" spans="1:3">
      <c r="A1439" s="13"/>
      <c r="B1439" s="53" t="s">
        <v>872</v>
      </c>
      <c r="C1439" s="54"/>
    </row>
    <row r="1440" spans="1:3">
      <c r="A1440" s="79"/>
      <c r="B1440" s="79"/>
      <c r="C1440" s="80"/>
    </row>
    <row r="1441" spans="1:3">
      <c r="A1441" s="83">
        <v>91210000</v>
      </c>
      <c r="B1441" s="84" t="s">
        <v>873</v>
      </c>
      <c r="C1441" s="85">
        <v>814502.35</v>
      </c>
    </row>
    <row r="1442" spans="1:3">
      <c r="A1442" s="83">
        <v>91210001</v>
      </c>
      <c r="B1442" s="84" t="s">
        <v>874</v>
      </c>
      <c r="C1442" s="85">
        <v>56135.25</v>
      </c>
    </row>
    <row r="1443" spans="1:3">
      <c r="A1443" s="83">
        <v>91211000</v>
      </c>
      <c r="B1443" s="84" t="s">
        <v>875</v>
      </c>
      <c r="C1443" s="85">
        <v>143324.54999999999</v>
      </c>
    </row>
    <row r="1444" spans="1:3">
      <c r="A1444" s="83">
        <v>91211001</v>
      </c>
      <c r="B1444" s="84" t="s">
        <v>876</v>
      </c>
      <c r="C1444" s="85">
        <v>252610.04</v>
      </c>
    </row>
    <row r="1445" spans="1:3">
      <c r="A1445" s="83">
        <v>91216000</v>
      </c>
      <c r="B1445" s="84" t="s">
        <v>58</v>
      </c>
      <c r="C1445" s="85">
        <v>315389.28000000003</v>
      </c>
    </row>
    <row r="1446" spans="1:3">
      <c r="A1446" s="84"/>
      <c r="B1446" s="11" t="s">
        <v>22</v>
      </c>
      <c r="C1446" s="86">
        <f>SUM(C1441:C1445)</f>
        <v>1581961.47</v>
      </c>
    </row>
    <row r="1447" spans="1:3">
      <c r="A1447" s="79"/>
      <c r="B1447" s="8"/>
      <c r="C1447" s="80"/>
    </row>
    <row r="1448" spans="1:3" ht="77.25">
      <c r="A1448" s="55">
        <v>91222000</v>
      </c>
      <c r="B1448" s="200" t="s">
        <v>176</v>
      </c>
      <c r="C1448" s="73">
        <v>1000</v>
      </c>
    </row>
    <row r="1449" spans="1:3" ht="77.25">
      <c r="A1449" s="55">
        <v>91222001</v>
      </c>
      <c r="B1449" s="200" t="s">
        <v>177</v>
      </c>
      <c r="C1449" s="73">
        <v>3500</v>
      </c>
    </row>
    <row r="1450" spans="1:3" ht="90">
      <c r="A1450" s="55">
        <v>91222002</v>
      </c>
      <c r="B1450" s="200" t="s">
        <v>877</v>
      </c>
      <c r="C1450" s="73">
        <v>500</v>
      </c>
    </row>
    <row r="1451" spans="1:3" ht="64.5">
      <c r="A1451" s="55">
        <v>91222114</v>
      </c>
      <c r="B1451" s="200" t="s">
        <v>878</v>
      </c>
      <c r="C1451" s="73">
        <v>7000</v>
      </c>
    </row>
    <row r="1452" spans="1:3" ht="77.25">
      <c r="A1452" s="55">
        <v>91222601</v>
      </c>
      <c r="B1452" s="200" t="s">
        <v>879</v>
      </c>
      <c r="C1452" s="73">
        <v>25000</v>
      </c>
    </row>
    <row r="1453" spans="1:3" ht="64.5">
      <c r="A1453" s="55">
        <v>91222610</v>
      </c>
      <c r="B1453" s="200" t="s">
        <v>880</v>
      </c>
      <c r="C1453" s="73">
        <v>5000</v>
      </c>
    </row>
    <row r="1454" spans="1:3" ht="90">
      <c r="A1454" s="55">
        <v>91222611</v>
      </c>
      <c r="B1454" s="200" t="s">
        <v>881</v>
      </c>
      <c r="C1454" s="73">
        <v>12000</v>
      </c>
    </row>
    <row r="1455" spans="1:3" ht="39">
      <c r="A1455" s="55">
        <v>91222613</v>
      </c>
      <c r="B1455" s="200" t="s">
        <v>882</v>
      </c>
      <c r="C1455" s="73">
        <v>2000</v>
      </c>
    </row>
    <row r="1456" spans="1:3" ht="90">
      <c r="A1456" s="201">
        <v>91222616</v>
      </c>
      <c r="B1456" s="200" t="s">
        <v>883</v>
      </c>
      <c r="C1456" s="73">
        <v>500</v>
      </c>
    </row>
    <row r="1457" spans="1:3" ht="51.75">
      <c r="A1457" s="201">
        <v>91222706</v>
      </c>
      <c r="B1457" s="200" t="s">
        <v>82</v>
      </c>
      <c r="C1457" s="73">
        <v>600</v>
      </c>
    </row>
    <row r="1458" spans="1:3" ht="90">
      <c r="A1458" s="55">
        <v>91223000</v>
      </c>
      <c r="B1458" s="200" t="s">
        <v>884</v>
      </c>
      <c r="C1458" s="73">
        <v>50000</v>
      </c>
    </row>
    <row r="1459" spans="1:3" ht="72.75">
      <c r="A1459" s="55">
        <v>91223100</v>
      </c>
      <c r="B1459" s="202" t="s">
        <v>885</v>
      </c>
      <c r="C1459" s="73">
        <v>35000</v>
      </c>
    </row>
    <row r="1460" spans="1:3" ht="48.75">
      <c r="A1460" s="55">
        <v>91223300</v>
      </c>
      <c r="B1460" s="202" t="s">
        <v>886</v>
      </c>
      <c r="C1460" s="73">
        <v>10200</v>
      </c>
    </row>
    <row r="1461" spans="1:3">
      <c r="A1461" s="79"/>
      <c r="B1461" s="8" t="s">
        <v>22</v>
      </c>
      <c r="C1461" s="59">
        <f>SUM(C1448:C1460)</f>
        <v>152300</v>
      </c>
    </row>
    <row r="1462" spans="1:3">
      <c r="A1462" s="79"/>
      <c r="B1462" s="93"/>
      <c r="C1462" s="80"/>
    </row>
    <row r="1463" spans="1:3">
      <c r="A1463" s="60">
        <v>91248900</v>
      </c>
      <c r="B1463" s="61" t="s">
        <v>887</v>
      </c>
      <c r="C1463" s="74">
        <v>213794.5</v>
      </c>
    </row>
    <row r="1464" spans="1:3">
      <c r="A1464" s="60">
        <v>91248901</v>
      </c>
      <c r="B1464" s="61" t="s">
        <v>888</v>
      </c>
      <c r="C1464" s="74">
        <v>1200</v>
      </c>
    </row>
    <row r="1465" spans="1:3">
      <c r="A1465" s="60">
        <v>91248902</v>
      </c>
      <c r="B1465" s="61" t="s">
        <v>889</v>
      </c>
      <c r="C1465" s="74">
        <v>1200</v>
      </c>
    </row>
    <row r="1466" spans="1:3">
      <c r="A1466" s="60"/>
      <c r="B1466" s="63" t="s">
        <v>22</v>
      </c>
      <c r="C1466" s="107">
        <f>SUM(C1463:C1465)</f>
        <v>216194.5</v>
      </c>
    </row>
    <row r="1467" spans="1:3">
      <c r="A1467" s="88"/>
      <c r="B1467" s="77"/>
      <c r="C1467" s="73"/>
    </row>
    <row r="1468" spans="1:3">
      <c r="A1468" s="13"/>
      <c r="B1468" s="53" t="s">
        <v>890</v>
      </c>
      <c r="C1468" s="54"/>
    </row>
    <row r="1469" spans="1:3">
      <c r="A1469" s="88"/>
      <c r="B1469" s="77"/>
      <c r="C1469" s="73"/>
    </row>
    <row r="1470" spans="1:3">
      <c r="A1470" s="83">
        <v>92012000</v>
      </c>
      <c r="B1470" s="104" t="s">
        <v>891</v>
      </c>
      <c r="C1470" s="85">
        <f>224080.27-7826.77</f>
        <v>216253.5</v>
      </c>
    </row>
    <row r="1471" spans="1:3">
      <c r="A1471" s="83">
        <v>92012003</v>
      </c>
      <c r="B1471" s="104" t="s">
        <v>51</v>
      </c>
      <c r="C1471" s="85">
        <v>10589.7</v>
      </c>
    </row>
    <row r="1472" spans="1:3">
      <c r="A1472" s="83">
        <v>92012004</v>
      </c>
      <c r="B1472" s="104" t="s">
        <v>892</v>
      </c>
      <c r="C1472" s="85">
        <f>114190.82-4351.09</f>
        <v>109839.73000000001</v>
      </c>
    </row>
    <row r="1473" spans="1:3">
      <c r="A1473" s="83">
        <v>92012005</v>
      </c>
      <c r="B1473" s="104" t="s">
        <v>893</v>
      </c>
      <c r="C1473" s="85">
        <f>52292.81-3985.1</f>
        <v>48307.71</v>
      </c>
    </row>
    <row r="1474" spans="1:3">
      <c r="A1474" s="83">
        <v>92012006</v>
      </c>
      <c r="B1474" s="104" t="s">
        <v>53</v>
      </c>
      <c r="C1474" s="85">
        <v>61990.64</v>
      </c>
    </row>
    <row r="1475" spans="1:3">
      <c r="A1475" s="83">
        <v>92012100</v>
      </c>
      <c r="B1475" s="104" t="s">
        <v>894</v>
      </c>
      <c r="C1475" s="85">
        <f>271595.62-6048.07-2309.37-2868.53</f>
        <v>260369.65</v>
      </c>
    </row>
    <row r="1476" spans="1:3">
      <c r="A1476" s="83">
        <v>92012101</v>
      </c>
      <c r="B1476" s="104" t="s">
        <v>55</v>
      </c>
      <c r="C1476" s="85">
        <f>355176.73-9644.18-2224.25-3787.07</f>
        <v>339521.23</v>
      </c>
    </row>
    <row r="1477" spans="1:3">
      <c r="A1477" s="83">
        <v>92012103</v>
      </c>
      <c r="B1477" s="104" t="s">
        <v>895</v>
      </c>
      <c r="C1477" s="85">
        <f>223456.7-3748.44-1413.5-1600.49</f>
        <v>216694.27000000002</v>
      </c>
    </row>
    <row r="1478" spans="1:3">
      <c r="A1478" s="83">
        <v>92013000</v>
      </c>
      <c r="B1478" s="104" t="s">
        <v>896</v>
      </c>
      <c r="C1478" s="85">
        <f>86495.9-3985.1-3985.1</f>
        <v>78525.699999999983</v>
      </c>
    </row>
    <row r="1479" spans="1:3">
      <c r="A1479" s="83">
        <v>92013002</v>
      </c>
      <c r="B1479" s="104" t="s">
        <v>897</v>
      </c>
      <c r="C1479" s="85">
        <f>131729.25-5947.11-5947.11</f>
        <v>119835.03</v>
      </c>
    </row>
    <row r="1480" spans="1:3">
      <c r="A1480" s="83">
        <v>92014300</v>
      </c>
      <c r="B1480" s="104" t="s">
        <v>898</v>
      </c>
      <c r="C1480" s="85">
        <v>56237.5</v>
      </c>
    </row>
    <row r="1481" spans="1:3">
      <c r="A1481" s="83">
        <v>92015000</v>
      </c>
      <c r="B1481" s="104" t="s">
        <v>287</v>
      </c>
      <c r="C1481" s="85">
        <v>7678.48</v>
      </c>
    </row>
    <row r="1482" spans="1:3">
      <c r="A1482" s="83">
        <v>92016000</v>
      </c>
      <c r="B1482" s="104" t="s">
        <v>899</v>
      </c>
      <c r="C1482" s="85">
        <f>346890.48-93.64-93.64-93.64-93.64-93.64-93.64</f>
        <v>346328.6399999999</v>
      </c>
    </row>
    <row r="1483" spans="1:3">
      <c r="A1483" s="84"/>
      <c r="B1483" s="11" t="s">
        <v>22</v>
      </c>
      <c r="C1483" s="86">
        <f>SUM(C1470:C1482)</f>
        <v>1872171.78</v>
      </c>
    </row>
    <row r="1484" spans="1:3">
      <c r="A1484" s="79"/>
      <c r="B1484" s="8"/>
      <c r="C1484" s="80"/>
    </row>
    <row r="1485" spans="1:3">
      <c r="A1485" s="55">
        <v>92020300</v>
      </c>
      <c r="B1485" s="111" t="s">
        <v>900</v>
      </c>
      <c r="C1485" s="73">
        <v>150000</v>
      </c>
    </row>
    <row r="1486" spans="1:3">
      <c r="A1486" s="55">
        <v>92020400</v>
      </c>
      <c r="B1486" s="111" t="s">
        <v>901</v>
      </c>
      <c r="C1486" s="73">
        <v>50000</v>
      </c>
    </row>
    <row r="1487" spans="1:3">
      <c r="A1487" s="55">
        <v>92022000</v>
      </c>
      <c r="B1487" s="111" t="s">
        <v>902</v>
      </c>
      <c r="C1487" s="73">
        <f>7000+2000</f>
        <v>9000</v>
      </c>
    </row>
    <row r="1488" spans="1:3">
      <c r="A1488" s="55">
        <v>92022001</v>
      </c>
      <c r="B1488" s="111" t="s">
        <v>177</v>
      </c>
      <c r="C1488" s="73">
        <f>3000+10294.39+3000</f>
        <v>16294.39</v>
      </c>
    </row>
    <row r="1489" spans="1:3">
      <c r="A1489" s="55">
        <v>92022002</v>
      </c>
      <c r="B1489" s="111" t="s">
        <v>534</v>
      </c>
      <c r="C1489" s="73">
        <v>1500</v>
      </c>
    </row>
    <row r="1490" spans="1:3">
      <c r="A1490" s="55">
        <v>92022003</v>
      </c>
      <c r="B1490" s="111" t="s">
        <v>903</v>
      </c>
      <c r="C1490" s="73">
        <f>2000+5185.27</f>
        <v>7185.27</v>
      </c>
    </row>
    <row r="1491" spans="1:3">
      <c r="A1491" s="55">
        <v>92022004</v>
      </c>
      <c r="B1491" s="111" t="s">
        <v>904</v>
      </c>
      <c r="C1491" s="73">
        <v>3700</v>
      </c>
    </row>
    <row r="1492" spans="1:3">
      <c r="A1492" s="55">
        <v>92022005</v>
      </c>
      <c r="B1492" s="111" t="s">
        <v>905</v>
      </c>
      <c r="C1492" s="73">
        <v>5000</v>
      </c>
    </row>
    <row r="1493" spans="1:3">
      <c r="A1493" s="55">
        <v>92022006</v>
      </c>
      <c r="B1493" s="111" t="s">
        <v>906</v>
      </c>
      <c r="C1493" s="73">
        <v>20000</v>
      </c>
    </row>
    <row r="1494" spans="1:3">
      <c r="A1494" s="55">
        <v>92022007</v>
      </c>
      <c r="B1494" s="111" t="s">
        <v>907</v>
      </c>
      <c r="C1494" s="73">
        <v>20000</v>
      </c>
    </row>
    <row r="1495" spans="1:3">
      <c r="A1495" s="55">
        <v>92022104</v>
      </c>
      <c r="B1495" s="111" t="s">
        <v>126</v>
      </c>
      <c r="C1495" s="73">
        <v>5000</v>
      </c>
    </row>
    <row r="1496" spans="1:3">
      <c r="A1496" s="55">
        <v>92022201</v>
      </c>
      <c r="B1496" s="111" t="s">
        <v>908</v>
      </c>
      <c r="C1496" s="73">
        <v>56000</v>
      </c>
    </row>
    <row r="1497" spans="1:3">
      <c r="A1497" s="55">
        <v>92022300</v>
      </c>
      <c r="B1497" s="111" t="s">
        <v>909</v>
      </c>
      <c r="C1497" s="73">
        <f>3000+1000</f>
        <v>4000</v>
      </c>
    </row>
    <row r="1498" spans="1:3">
      <c r="A1498" s="55">
        <v>92022602</v>
      </c>
      <c r="B1498" s="111" t="s">
        <v>910</v>
      </c>
      <c r="C1498" s="73">
        <f>4000+18000</f>
        <v>22000</v>
      </c>
    </row>
    <row r="1499" spans="1:3">
      <c r="A1499" s="55">
        <v>92022603</v>
      </c>
      <c r="B1499" s="111" t="s">
        <v>291</v>
      </c>
      <c r="C1499" s="73">
        <v>14500</v>
      </c>
    </row>
    <row r="1500" spans="1:3">
      <c r="A1500" s="55">
        <v>92022604</v>
      </c>
      <c r="B1500" s="111" t="s">
        <v>911</v>
      </c>
      <c r="C1500" s="73">
        <v>35000</v>
      </c>
    </row>
    <row r="1501" spans="1:3">
      <c r="A1501" s="55">
        <v>92022610</v>
      </c>
      <c r="B1501" s="111" t="s">
        <v>912</v>
      </c>
      <c r="C1501" s="73">
        <v>3000</v>
      </c>
    </row>
    <row r="1502" spans="1:3">
      <c r="A1502" s="55">
        <v>92022611</v>
      </c>
      <c r="B1502" s="111" t="s">
        <v>913</v>
      </c>
      <c r="C1502" s="73">
        <v>5500</v>
      </c>
    </row>
    <row r="1503" spans="1:3">
      <c r="A1503" s="55">
        <v>92022698</v>
      </c>
      <c r="B1503" s="111" t="s">
        <v>914</v>
      </c>
      <c r="C1503" s="73">
        <v>4000</v>
      </c>
    </row>
    <row r="1504" spans="1:3">
      <c r="A1504" s="88">
        <v>92022699</v>
      </c>
      <c r="B1504" s="203" t="s">
        <v>20</v>
      </c>
      <c r="C1504" s="133">
        <v>8341.19</v>
      </c>
    </row>
    <row r="1505" spans="1:3">
      <c r="A1505" s="55">
        <v>92022706</v>
      </c>
      <c r="B1505" s="111" t="s">
        <v>82</v>
      </c>
      <c r="C1505" s="73">
        <v>20000</v>
      </c>
    </row>
    <row r="1506" spans="1:3">
      <c r="A1506" s="55">
        <v>92022707</v>
      </c>
      <c r="B1506" s="111" t="s">
        <v>915</v>
      </c>
      <c r="C1506" s="73">
        <v>30000</v>
      </c>
    </row>
    <row r="1507" spans="1:3">
      <c r="A1507" s="55">
        <v>92023020</v>
      </c>
      <c r="B1507" s="111" t="s">
        <v>916</v>
      </c>
      <c r="C1507" s="73">
        <v>46000</v>
      </c>
    </row>
    <row r="1508" spans="1:3">
      <c r="A1508" s="55">
        <v>92023120</v>
      </c>
      <c r="B1508" s="111" t="s">
        <v>917</v>
      </c>
      <c r="C1508" s="73">
        <v>48500</v>
      </c>
    </row>
    <row r="1509" spans="1:3">
      <c r="A1509" s="82"/>
      <c r="B1509" s="8" t="s">
        <v>22</v>
      </c>
      <c r="C1509" s="59">
        <f>SUM(C1485:C1508)</f>
        <v>584520.85000000009</v>
      </c>
    </row>
    <row r="1510" spans="1:3">
      <c r="A1510" s="79"/>
      <c r="B1510" s="93"/>
      <c r="C1510" s="188"/>
    </row>
    <row r="1511" spans="1:3">
      <c r="A1511" s="60">
        <v>92048000</v>
      </c>
      <c r="B1511" s="61" t="s">
        <v>918</v>
      </c>
      <c r="C1511" s="74">
        <v>4631.25</v>
      </c>
    </row>
    <row r="1512" spans="1:3">
      <c r="A1512" s="75"/>
      <c r="B1512" s="63" t="s">
        <v>22</v>
      </c>
      <c r="C1512" s="64">
        <f>SUM(C1511)</f>
        <v>4631.25</v>
      </c>
    </row>
    <row r="1513" spans="1:3">
      <c r="A1513" s="79"/>
      <c r="B1513" s="93"/>
      <c r="C1513" s="188"/>
    </row>
    <row r="1514" spans="1:3">
      <c r="A1514" s="65">
        <v>92062500</v>
      </c>
      <c r="B1514" s="66" t="s">
        <v>524</v>
      </c>
      <c r="C1514" s="67">
        <f>6000+7600+600</f>
        <v>14200</v>
      </c>
    </row>
    <row r="1515" spans="1:3">
      <c r="A1515" s="65">
        <v>92062600</v>
      </c>
      <c r="B1515" s="66" t="s">
        <v>616</v>
      </c>
      <c r="C1515" s="67">
        <f>11500+1000</f>
        <v>12500</v>
      </c>
    </row>
    <row r="1516" spans="1:3">
      <c r="A1516" s="65">
        <v>92062601</v>
      </c>
      <c r="B1516" s="66" t="s">
        <v>919</v>
      </c>
      <c r="C1516" s="67">
        <v>25000</v>
      </c>
    </row>
    <row r="1517" spans="1:3">
      <c r="A1517" s="68"/>
      <c r="B1517" s="69" t="s">
        <v>22</v>
      </c>
      <c r="C1517" s="70">
        <f>SUM(C1514:C1516)</f>
        <v>51700</v>
      </c>
    </row>
    <row r="1518" spans="1:3">
      <c r="A1518" s="79"/>
      <c r="B1518" s="93"/>
      <c r="C1518" s="188"/>
    </row>
    <row r="1519" spans="1:3">
      <c r="A1519" s="204">
        <v>92083000</v>
      </c>
      <c r="B1519" s="205" t="s">
        <v>920</v>
      </c>
      <c r="C1519" s="206">
        <v>240000</v>
      </c>
    </row>
    <row r="1520" spans="1:3">
      <c r="A1520" s="204">
        <v>92083100</v>
      </c>
      <c r="B1520" s="205" t="s">
        <v>921</v>
      </c>
      <c r="C1520" s="206">
        <v>60000</v>
      </c>
    </row>
    <row r="1521" spans="1:3">
      <c r="A1521" s="204">
        <v>92083101</v>
      </c>
      <c r="B1521" s="205" t="s">
        <v>922</v>
      </c>
      <c r="C1521" s="206">
        <v>18000</v>
      </c>
    </row>
    <row r="1522" spans="1:3">
      <c r="A1522" s="207"/>
      <c r="B1522" s="208" t="s">
        <v>22</v>
      </c>
      <c r="C1522" s="209">
        <f>SUM(C1519:C1521)</f>
        <v>318000</v>
      </c>
    </row>
    <row r="1523" spans="1:3">
      <c r="A1523" s="79"/>
      <c r="B1523" s="8"/>
      <c r="C1523" s="80"/>
    </row>
    <row r="1524" spans="1:3">
      <c r="A1524" s="13"/>
      <c r="B1524" s="53" t="s">
        <v>923</v>
      </c>
      <c r="C1524" s="54"/>
    </row>
    <row r="1525" spans="1:3">
      <c r="A1525" s="79"/>
      <c r="B1525" s="8"/>
      <c r="C1525" s="80"/>
    </row>
    <row r="1526" spans="1:3">
      <c r="A1526" s="83">
        <v>92112000</v>
      </c>
      <c r="B1526" s="84" t="s">
        <v>49</v>
      </c>
      <c r="C1526" s="85">
        <v>48017.2</v>
      </c>
    </row>
    <row r="1527" spans="1:3">
      <c r="A1527" s="83">
        <v>92112001</v>
      </c>
      <c r="B1527" s="84" t="s">
        <v>50</v>
      </c>
      <c r="C1527" s="85">
        <v>13959.73</v>
      </c>
    </row>
    <row r="1528" spans="1:3">
      <c r="A1528" s="83">
        <v>92112003</v>
      </c>
      <c r="B1528" s="84" t="s">
        <v>51</v>
      </c>
      <c r="C1528" s="85">
        <v>10589.7</v>
      </c>
    </row>
    <row r="1529" spans="1:3">
      <c r="A1529" s="83">
        <v>92112004</v>
      </c>
      <c r="B1529" s="84" t="s">
        <v>72</v>
      </c>
      <c r="C1529" s="85">
        <v>44489.93</v>
      </c>
    </row>
    <row r="1530" spans="1:3">
      <c r="A1530" s="83">
        <v>92112006</v>
      </c>
      <c r="B1530" s="84" t="s">
        <v>53</v>
      </c>
      <c r="C1530" s="85">
        <v>21546.400000000001</v>
      </c>
    </row>
    <row r="1531" spans="1:3">
      <c r="A1531" s="83">
        <v>92112100</v>
      </c>
      <c r="B1531" s="84" t="s">
        <v>54</v>
      </c>
      <c r="C1531" s="85">
        <v>80200.929999999993</v>
      </c>
    </row>
    <row r="1532" spans="1:3">
      <c r="A1532" s="83">
        <v>92112101</v>
      </c>
      <c r="B1532" s="84" t="s">
        <v>55</v>
      </c>
      <c r="C1532" s="85">
        <v>100507.19</v>
      </c>
    </row>
    <row r="1533" spans="1:3">
      <c r="A1533" s="83">
        <v>92112103</v>
      </c>
      <c r="B1533" s="84" t="s">
        <v>56</v>
      </c>
      <c r="C1533" s="85">
        <v>66951.17</v>
      </c>
    </row>
    <row r="1534" spans="1:3">
      <c r="A1534" s="83">
        <v>92113000</v>
      </c>
      <c r="B1534" s="84" t="s">
        <v>111</v>
      </c>
      <c r="C1534" s="85">
        <v>15532.2</v>
      </c>
    </row>
    <row r="1535" spans="1:3">
      <c r="A1535" s="83">
        <v>92113002</v>
      </c>
      <c r="B1535" s="84" t="s">
        <v>175</v>
      </c>
      <c r="C1535" s="85">
        <v>25006.73</v>
      </c>
    </row>
    <row r="1536" spans="1:3">
      <c r="A1536" s="83">
        <v>92115000</v>
      </c>
      <c r="B1536" s="84" t="s">
        <v>57</v>
      </c>
      <c r="C1536" s="85">
        <v>2247.36</v>
      </c>
    </row>
    <row r="1537" spans="1:3">
      <c r="A1537" s="83">
        <v>92116000</v>
      </c>
      <c r="B1537" s="84" t="s">
        <v>58</v>
      </c>
      <c r="C1537" s="85">
        <v>97179.57</v>
      </c>
    </row>
    <row r="1538" spans="1:3">
      <c r="A1538" s="84"/>
      <c r="B1538" s="11" t="s">
        <v>22</v>
      </c>
      <c r="C1538" s="86">
        <f>SUM(C1526:C1537)</f>
        <v>526228.10999999987</v>
      </c>
    </row>
    <row r="1539" spans="1:3">
      <c r="A1539" s="76"/>
      <c r="B1539" s="77"/>
      <c r="C1539" s="210"/>
    </row>
    <row r="1540" spans="1:3">
      <c r="A1540" s="55">
        <v>92120200</v>
      </c>
      <c r="B1540" s="72" t="s">
        <v>924</v>
      </c>
      <c r="C1540" s="73">
        <v>7000</v>
      </c>
    </row>
    <row r="1541" spans="1:3">
      <c r="A1541" s="55">
        <v>92122104</v>
      </c>
      <c r="B1541" s="72" t="s">
        <v>925</v>
      </c>
      <c r="C1541" s="73">
        <v>1500</v>
      </c>
    </row>
    <row r="1542" spans="1:3">
      <c r="A1542" s="55">
        <v>92122200</v>
      </c>
      <c r="B1542" s="72" t="s">
        <v>926</v>
      </c>
      <c r="C1542" s="112">
        <v>191755.72</v>
      </c>
    </row>
    <row r="1543" spans="1:3">
      <c r="A1543" s="55">
        <v>92122400</v>
      </c>
      <c r="B1543" s="111" t="s">
        <v>927</v>
      </c>
      <c r="C1543" s="73">
        <v>200000</v>
      </c>
    </row>
    <row r="1544" spans="1:3">
      <c r="A1544" s="55">
        <v>92122602</v>
      </c>
      <c r="B1544" s="111" t="s">
        <v>910</v>
      </c>
      <c r="C1544" s="73">
        <v>19421.43</v>
      </c>
    </row>
    <row r="1545" spans="1:3">
      <c r="A1545" s="55">
        <v>92122603</v>
      </c>
      <c r="B1545" s="111" t="s">
        <v>291</v>
      </c>
      <c r="C1545" s="73">
        <v>1251</v>
      </c>
    </row>
    <row r="1546" spans="1:3">
      <c r="A1546" s="55">
        <v>92122610</v>
      </c>
      <c r="B1546" s="111" t="s">
        <v>928</v>
      </c>
      <c r="C1546" s="73">
        <v>60000</v>
      </c>
    </row>
    <row r="1547" spans="1:3">
      <c r="A1547" s="55">
        <v>92122701</v>
      </c>
      <c r="B1547" s="111" t="s">
        <v>929</v>
      </c>
      <c r="C1547" s="73">
        <v>246000</v>
      </c>
    </row>
    <row r="1548" spans="1:3">
      <c r="A1548" s="79"/>
      <c r="B1548" s="8" t="s">
        <v>22</v>
      </c>
      <c r="C1548" s="81">
        <f>SUM(C1540:C1547)</f>
        <v>726928.14999999991</v>
      </c>
    </row>
    <row r="1549" spans="1:3">
      <c r="A1549" s="79"/>
      <c r="B1549" s="8"/>
      <c r="C1549" s="81"/>
    </row>
    <row r="1550" spans="1:3">
      <c r="A1550" s="60">
        <v>92148900</v>
      </c>
      <c r="B1550" s="61" t="s">
        <v>930</v>
      </c>
      <c r="C1550" s="74">
        <v>15000</v>
      </c>
    </row>
    <row r="1551" spans="1:3">
      <c r="A1551" s="60">
        <v>92148901</v>
      </c>
      <c r="B1551" s="61" t="s">
        <v>931</v>
      </c>
      <c r="C1551" s="74">
        <v>9000</v>
      </c>
    </row>
    <row r="1552" spans="1:3">
      <c r="A1552" s="75"/>
      <c r="B1552" s="63" t="s">
        <v>22</v>
      </c>
      <c r="C1552" s="64">
        <f>SUM(C1550:C1551)</f>
        <v>24000</v>
      </c>
    </row>
    <row r="1553" spans="1:3">
      <c r="A1553" s="79"/>
      <c r="B1553" s="8"/>
      <c r="C1553" s="81"/>
    </row>
    <row r="1554" spans="1:3">
      <c r="A1554" s="65">
        <v>92162500</v>
      </c>
      <c r="B1554" s="66" t="s">
        <v>932</v>
      </c>
      <c r="C1554" s="67">
        <v>500</v>
      </c>
    </row>
    <row r="1555" spans="1:3">
      <c r="A1555" s="65">
        <v>92165000</v>
      </c>
      <c r="B1555" s="66" t="s">
        <v>933</v>
      </c>
      <c r="C1555" s="67">
        <v>650000</v>
      </c>
    </row>
    <row r="1556" spans="1:3">
      <c r="A1556" s="68"/>
      <c r="B1556" s="69" t="s">
        <v>22</v>
      </c>
      <c r="C1556" s="70">
        <f>SUM(C1554:C1555)</f>
        <v>650500</v>
      </c>
    </row>
    <row r="1557" spans="1:3">
      <c r="A1557" s="79"/>
      <c r="B1557" s="8"/>
      <c r="C1557" s="81"/>
    </row>
    <row r="1558" spans="1:3">
      <c r="A1558" s="13"/>
      <c r="B1558" s="53" t="s">
        <v>934</v>
      </c>
      <c r="C1558" s="54"/>
    </row>
    <row r="1559" spans="1:3">
      <c r="A1559" s="211"/>
      <c r="B1559" s="212"/>
      <c r="C1559" s="213"/>
    </row>
    <row r="1560" spans="1:3">
      <c r="A1560" s="55">
        <v>92222000</v>
      </c>
      <c r="B1560" s="178" t="s">
        <v>935</v>
      </c>
      <c r="C1560" s="73">
        <v>500</v>
      </c>
    </row>
    <row r="1561" spans="1:3">
      <c r="A1561" s="55">
        <v>92222001</v>
      </c>
      <c r="B1561" s="178" t="s">
        <v>177</v>
      </c>
      <c r="C1561" s="73">
        <v>200</v>
      </c>
    </row>
    <row r="1562" spans="1:3">
      <c r="A1562" s="55">
        <v>92222699</v>
      </c>
      <c r="B1562" s="178" t="s">
        <v>936</v>
      </c>
      <c r="C1562" s="73">
        <v>500</v>
      </c>
    </row>
    <row r="1563" spans="1:3">
      <c r="A1563" s="55">
        <v>92222706</v>
      </c>
      <c r="B1563" s="178" t="s">
        <v>937</v>
      </c>
      <c r="C1563" s="73">
        <v>90000</v>
      </c>
    </row>
    <row r="1564" spans="1:3">
      <c r="A1564" s="79"/>
      <c r="B1564" s="8" t="s">
        <v>22</v>
      </c>
      <c r="C1564" s="81">
        <f>SUM(C1560:C1563)</f>
        <v>91200</v>
      </c>
    </row>
    <row r="1565" spans="1:3">
      <c r="A1565" s="79"/>
      <c r="B1565" s="8"/>
      <c r="C1565" s="81"/>
    </row>
    <row r="1566" spans="1:3">
      <c r="A1566" s="65">
        <v>92262500</v>
      </c>
      <c r="B1566" s="66" t="s">
        <v>938</v>
      </c>
      <c r="C1566" s="67">
        <v>1200</v>
      </c>
    </row>
    <row r="1567" spans="1:3">
      <c r="A1567" s="68"/>
      <c r="B1567" s="69" t="s">
        <v>22</v>
      </c>
      <c r="C1567" s="70">
        <f>SUM(C1566)</f>
        <v>1200</v>
      </c>
    </row>
    <row r="1568" spans="1:3">
      <c r="A1568" s="211"/>
      <c r="B1568" s="212"/>
      <c r="C1568" s="213"/>
    </row>
    <row r="1569" spans="1:3">
      <c r="A1569" s="13"/>
      <c r="B1569" s="53" t="s">
        <v>939</v>
      </c>
      <c r="C1569" s="54"/>
    </row>
    <row r="1570" spans="1:3">
      <c r="A1570" s="79"/>
      <c r="B1570" s="8"/>
      <c r="C1570" s="80"/>
    </row>
    <row r="1571" spans="1:3">
      <c r="A1571" s="95">
        <v>92422602</v>
      </c>
      <c r="B1571" s="96" t="s">
        <v>31</v>
      </c>
      <c r="C1571" s="80">
        <v>10000</v>
      </c>
    </row>
    <row r="1572" spans="1:3">
      <c r="A1572" s="95">
        <v>92422606</v>
      </c>
      <c r="B1572" s="96" t="s">
        <v>940</v>
      </c>
      <c r="C1572" s="80">
        <v>15000</v>
      </c>
    </row>
    <row r="1573" spans="1:3">
      <c r="A1573" s="55">
        <v>92422610</v>
      </c>
      <c r="B1573" s="178" t="s">
        <v>941</v>
      </c>
      <c r="C1573" s="73">
        <v>10000</v>
      </c>
    </row>
    <row r="1574" spans="1:3">
      <c r="A1574" s="55">
        <v>92422611</v>
      </c>
      <c r="B1574" s="178" t="s">
        <v>942</v>
      </c>
      <c r="C1574" s="73">
        <v>10000</v>
      </c>
    </row>
    <row r="1575" spans="1:3">
      <c r="A1575" s="55">
        <v>92422612</v>
      </c>
      <c r="B1575" s="178" t="s">
        <v>943</v>
      </c>
      <c r="C1575" s="73">
        <v>8000</v>
      </c>
    </row>
    <row r="1576" spans="1:3">
      <c r="A1576" s="55">
        <v>92422706</v>
      </c>
      <c r="B1576" s="178" t="s">
        <v>944</v>
      </c>
      <c r="C1576" s="73">
        <v>10000</v>
      </c>
    </row>
    <row r="1577" spans="1:3">
      <c r="A1577" s="79"/>
      <c r="B1577" s="8" t="s">
        <v>22</v>
      </c>
      <c r="C1577" s="81">
        <f>SUM(C1571:C1576)</f>
        <v>63000</v>
      </c>
    </row>
    <row r="1578" spans="1:3">
      <c r="A1578" s="79"/>
      <c r="B1578" s="8"/>
      <c r="C1578" s="80"/>
    </row>
    <row r="1579" spans="1:3">
      <c r="A1579" s="60">
        <v>92448000</v>
      </c>
      <c r="B1579" s="61" t="s">
        <v>945</v>
      </c>
      <c r="C1579" s="74">
        <v>1500</v>
      </c>
    </row>
    <row r="1580" spans="1:3">
      <c r="A1580" s="60">
        <v>92448901</v>
      </c>
      <c r="B1580" s="61" t="s">
        <v>946</v>
      </c>
      <c r="C1580" s="74">
        <v>1000</v>
      </c>
    </row>
    <row r="1581" spans="1:3">
      <c r="A1581" s="60">
        <v>92448903</v>
      </c>
      <c r="B1581" s="61" t="s">
        <v>947</v>
      </c>
      <c r="C1581" s="74">
        <v>40000</v>
      </c>
    </row>
    <row r="1582" spans="1:3">
      <c r="A1582" s="60">
        <v>92448905</v>
      </c>
      <c r="B1582" s="61" t="s">
        <v>948</v>
      </c>
      <c r="C1582" s="74">
        <v>8000</v>
      </c>
    </row>
    <row r="1583" spans="1:3">
      <c r="A1583" s="75"/>
      <c r="B1583" s="63" t="s">
        <v>22</v>
      </c>
      <c r="C1583" s="64">
        <f>SUM(C1579:C1582)</f>
        <v>50500</v>
      </c>
    </row>
    <row r="1584" spans="1:3">
      <c r="A1584" s="76"/>
      <c r="B1584" s="77"/>
      <c r="C1584" s="78"/>
    </row>
    <row r="1585" spans="1:3">
      <c r="A1585" s="119">
        <v>92478900</v>
      </c>
      <c r="B1585" s="135" t="s">
        <v>949</v>
      </c>
      <c r="C1585" s="121">
        <v>20000</v>
      </c>
    </row>
    <row r="1586" spans="1:3">
      <c r="A1586" s="119">
        <v>92478901</v>
      </c>
      <c r="B1586" s="135" t="s">
        <v>950</v>
      </c>
      <c r="C1586" s="121">
        <v>40000</v>
      </c>
    </row>
    <row r="1587" spans="1:3">
      <c r="A1587" s="136"/>
      <c r="B1587" s="123" t="s">
        <v>22</v>
      </c>
      <c r="C1587" s="124">
        <f>SUM(C1585:C1586)</f>
        <v>60000</v>
      </c>
    </row>
    <row r="1588" spans="1:3">
      <c r="A1588" s="76"/>
      <c r="B1588" s="77"/>
      <c r="C1588" s="78"/>
    </row>
    <row r="1589" spans="1:3">
      <c r="A1589" s="13"/>
      <c r="B1589" s="53" t="s">
        <v>951</v>
      </c>
      <c r="C1589" s="54"/>
    </row>
    <row r="1590" spans="1:3">
      <c r="A1590" s="79"/>
      <c r="B1590" s="8"/>
      <c r="C1590" s="80"/>
    </row>
    <row r="1591" spans="1:3">
      <c r="A1591" s="55">
        <v>92522000</v>
      </c>
      <c r="B1591" s="178" t="s">
        <v>952</v>
      </c>
      <c r="C1591" s="73">
        <v>3000</v>
      </c>
    </row>
    <row r="1592" spans="1:3">
      <c r="A1592" s="55">
        <v>92522002</v>
      </c>
      <c r="B1592" s="178" t="s">
        <v>953</v>
      </c>
      <c r="C1592" s="73">
        <v>3000</v>
      </c>
    </row>
    <row r="1593" spans="1:3">
      <c r="A1593" s="55">
        <v>92522707</v>
      </c>
      <c r="B1593" s="178" t="s">
        <v>954</v>
      </c>
      <c r="C1593" s="73">
        <v>84100</v>
      </c>
    </row>
    <row r="1594" spans="1:3">
      <c r="A1594" s="55">
        <v>92522710</v>
      </c>
      <c r="B1594" s="178" t="s">
        <v>955</v>
      </c>
      <c r="C1594" s="73">
        <v>1500</v>
      </c>
    </row>
    <row r="1595" spans="1:3">
      <c r="A1595" s="55">
        <v>92522711</v>
      </c>
      <c r="B1595" s="178" t="s">
        <v>956</v>
      </c>
      <c r="C1595" s="73">
        <v>10000</v>
      </c>
    </row>
    <row r="1596" spans="1:3">
      <c r="A1596" s="79"/>
      <c r="B1596" s="8" t="s">
        <v>22</v>
      </c>
      <c r="C1596" s="81">
        <f>SUM(C1591:C1595)</f>
        <v>101600</v>
      </c>
    </row>
    <row r="1597" spans="1:3">
      <c r="A1597" s="79"/>
      <c r="B1597" s="8"/>
      <c r="C1597" s="78"/>
    </row>
    <row r="1598" spans="1:3">
      <c r="A1598" s="13"/>
      <c r="B1598" s="53" t="s">
        <v>957</v>
      </c>
      <c r="C1598" s="54"/>
    </row>
    <row r="1599" spans="1:3">
      <c r="A1599" s="79"/>
      <c r="B1599" s="79"/>
      <c r="C1599" s="80"/>
    </row>
    <row r="1600" spans="1:3">
      <c r="A1600" s="129">
        <v>92612000</v>
      </c>
      <c r="B1600" s="84" t="s">
        <v>49</v>
      </c>
      <c r="C1600" s="85">
        <v>16005.73</v>
      </c>
    </row>
    <row r="1601" spans="1:3">
      <c r="A1601" s="129">
        <v>92612006</v>
      </c>
      <c r="B1601" s="84" t="s">
        <v>53</v>
      </c>
      <c r="C1601" s="85">
        <v>4926.42</v>
      </c>
    </row>
    <row r="1602" spans="1:3">
      <c r="A1602" s="83">
        <v>92612100</v>
      </c>
      <c r="B1602" s="84" t="s">
        <v>54</v>
      </c>
      <c r="C1602" s="85">
        <v>12368.3</v>
      </c>
    </row>
    <row r="1603" spans="1:3">
      <c r="A1603" s="83">
        <v>92612101</v>
      </c>
      <c r="B1603" s="84" t="s">
        <v>55</v>
      </c>
      <c r="C1603" s="85">
        <v>18282.400000000001</v>
      </c>
    </row>
    <row r="1604" spans="1:3">
      <c r="A1604" s="83">
        <v>92612103</v>
      </c>
      <c r="B1604" s="84" t="s">
        <v>56</v>
      </c>
      <c r="C1604" s="85">
        <v>11764.03</v>
      </c>
    </row>
    <row r="1605" spans="1:3">
      <c r="A1605" s="83">
        <v>92613000</v>
      </c>
      <c r="B1605" s="84" t="s">
        <v>111</v>
      </c>
      <c r="C1605" s="85">
        <v>42718.879999999997</v>
      </c>
    </row>
    <row r="1606" spans="1:3">
      <c r="A1606" s="83">
        <v>92613002</v>
      </c>
      <c r="B1606" s="84" t="s">
        <v>175</v>
      </c>
      <c r="C1606" s="85">
        <v>68103.87</v>
      </c>
    </row>
    <row r="1607" spans="1:3">
      <c r="A1607" s="83">
        <v>92615000</v>
      </c>
      <c r="B1607" s="84" t="s">
        <v>57</v>
      </c>
      <c r="C1607" s="85">
        <v>561.84</v>
      </c>
    </row>
    <row r="1608" spans="1:3">
      <c r="A1608" s="83">
        <v>92616000</v>
      </c>
      <c r="B1608" s="84" t="s">
        <v>58</v>
      </c>
      <c r="C1608" s="85">
        <v>35976.519999999997</v>
      </c>
    </row>
    <row r="1609" spans="1:3">
      <c r="A1609" s="84"/>
      <c r="B1609" s="11" t="s">
        <v>22</v>
      </c>
      <c r="C1609" s="86">
        <f>SUM(C1600:C1608)</f>
        <v>210707.99</v>
      </c>
    </row>
    <row r="1610" spans="1:3">
      <c r="A1610" s="79"/>
      <c r="B1610" s="79"/>
      <c r="C1610" s="80"/>
    </row>
    <row r="1611" spans="1:3">
      <c r="A1611" s="55">
        <v>92621600</v>
      </c>
      <c r="B1611" s="72" t="s">
        <v>958</v>
      </c>
      <c r="C1611" s="73">
        <v>100000</v>
      </c>
    </row>
    <row r="1612" spans="1:3">
      <c r="A1612" s="55">
        <v>92622002</v>
      </c>
      <c r="B1612" s="72" t="s">
        <v>959</v>
      </c>
      <c r="C1612" s="73">
        <v>50000</v>
      </c>
    </row>
    <row r="1613" spans="1:3">
      <c r="A1613" s="55">
        <v>92622203</v>
      </c>
      <c r="B1613" s="72" t="s">
        <v>739</v>
      </c>
      <c r="C1613" s="73">
        <v>15000</v>
      </c>
    </row>
    <row r="1614" spans="1:3">
      <c r="A1614" s="55">
        <v>92622706</v>
      </c>
      <c r="B1614" s="72" t="s">
        <v>960</v>
      </c>
      <c r="C1614" s="73">
        <v>50000</v>
      </c>
    </row>
    <row r="1615" spans="1:3">
      <c r="A1615" s="79"/>
      <c r="B1615" s="8" t="s">
        <v>22</v>
      </c>
      <c r="C1615" s="81">
        <f>SUM(C1611:C1614)</f>
        <v>215000</v>
      </c>
    </row>
    <row r="1616" spans="1:3">
      <c r="A1616" s="79"/>
      <c r="B1616" s="93"/>
      <c r="C1616" s="80"/>
    </row>
    <row r="1617" spans="1:3">
      <c r="A1617" s="65">
        <v>92662600</v>
      </c>
      <c r="B1617" s="66" t="s">
        <v>961</v>
      </c>
      <c r="C1617" s="67">
        <v>27000</v>
      </c>
    </row>
    <row r="1618" spans="1:3">
      <c r="A1618" s="65">
        <v>92662601</v>
      </c>
      <c r="B1618" s="66" t="s">
        <v>962</v>
      </c>
      <c r="C1618" s="67">
        <v>20000</v>
      </c>
    </row>
    <row r="1619" spans="1:3">
      <c r="A1619" s="65">
        <v>92662602</v>
      </c>
      <c r="B1619" s="66" t="s">
        <v>963</v>
      </c>
      <c r="C1619" s="67">
        <v>15000</v>
      </c>
    </row>
    <row r="1620" spans="1:3">
      <c r="A1620" s="68"/>
      <c r="B1620" s="69" t="s">
        <v>22</v>
      </c>
      <c r="C1620" s="70">
        <f>SUM(C1617:C1619)</f>
        <v>62000</v>
      </c>
    </row>
    <row r="1621" spans="1:3">
      <c r="A1621" s="79"/>
      <c r="B1621" s="79"/>
      <c r="C1621" s="80"/>
    </row>
    <row r="1622" spans="1:3">
      <c r="A1622" s="13"/>
      <c r="B1622" s="53" t="s">
        <v>964</v>
      </c>
      <c r="C1622" s="54"/>
    </row>
    <row r="1623" spans="1:3">
      <c r="A1623" s="79"/>
      <c r="B1623" s="79"/>
      <c r="C1623" s="80"/>
    </row>
    <row r="1624" spans="1:3">
      <c r="A1624" s="83">
        <v>92712000</v>
      </c>
      <c r="B1624" s="84" t="s">
        <v>49</v>
      </c>
      <c r="C1624" s="85">
        <v>48017.2</v>
      </c>
    </row>
    <row r="1625" spans="1:3">
      <c r="A1625" s="83">
        <v>92712001</v>
      </c>
      <c r="B1625" s="84" t="s">
        <v>50</v>
      </c>
      <c r="C1625" s="85">
        <v>40168.370000000003</v>
      </c>
    </row>
    <row r="1626" spans="1:3">
      <c r="A1626" s="83">
        <v>92712003</v>
      </c>
      <c r="B1626" s="84" t="s">
        <v>51</v>
      </c>
      <c r="C1626" s="85">
        <v>35139.14</v>
      </c>
    </row>
    <row r="1627" spans="1:3">
      <c r="A1627" s="83">
        <v>92712004</v>
      </c>
      <c r="B1627" s="84" t="s">
        <v>72</v>
      </c>
      <c r="C1627" s="85">
        <v>62285.9</v>
      </c>
    </row>
    <row r="1628" spans="1:3">
      <c r="A1628" s="83">
        <v>92712006</v>
      </c>
      <c r="B1628" s="84" t="s">
        <v>53</v>
      </c>
      <c r="C1628" s="85">
        <v>23994.22</v>
      </c>
    </row>
    <row r="1629" spans="1:3">
      <c r="A1629" s="83">
        <v>92712100</v>
      </c>
      <c r="B1629" s="84" t="s">
        <v>54</v>
      </c>
      <c r="C1629" s="85">
        <v>119991.24</v>
      </c>
    </row>
    <row r="1630" spans="1:3">
      <c r="A1630" s="83">
        <v>92712101</v>
      </c>
      <c r="B1630" s="84" t="s">
        <v>55</v>
      </c>
      <c r="C1630" s="85">
        <v>154472.32000000001</v>
      </c>
    </row>
    <row r="1631" spans="1:3">
      <c r="A1631" s="83">
        <v>92712103</v>
      </c>
      <c r="B1631" s="84" t="s">
        <v>965</v>
      </c>
      <c r="C1631" s="85">
        <v>95725.02</v>
      </c>
    </row>
    <row r="1632" spans="1:3">
      <c r="A1632" s="83">
        <v>92713000</v>
      </c>
      <c r="B1632" s="84" t="s">
        <v>274</v>
      </c>
      <c r="C1632" s="85">
        <v>17504.63</v>
      </c>
    </row>
    <row r="1633" spans="1:3">
      <c r="A1633" s="83">
        <v>92713002</v>
      </c>
      <c r="B1633" s="84" t="s">
        <v>966</v>
      </c>
      <c r="C1633" s="85">
        <v>24952.79</v>
      </c>
    </row>
    <row r="1634" spans="1:3">
      <c r="A1634" s="83">
        <v>92715000</v>
      </c>
      <c r="B1634" s="84" t="s">
        <v>57</v>
      </c>
      <c r="C1634" s="85">
        <v>2996.48</v>
      </c>
    </row>
    <row r="1635" spans="1:3">
      <c r="A1635" s="83">
        <v>92716000</v>
      </c>
      <c r="B1635" s="84" t="s">
        <v>58</v>
      </c>
      <c r="C1635" s="85">
        <v>179138.96</v>
      </c>
    </row>
    <row r="1636" spans="1:3">
      <c r="A1636" s="83">
        <v>92716200</v>
      </c>
      <c r="B1636" s="84" t="s">
        <v>967</v>
      </c>
      <c r="C1636" s="85">
        <v>3000</v>
      </c>
    </row>
    <row r="1637" spans="1:3">
      <c r="A1637" s="84"/>
      <c r="B1637" s="11" t="s">
        <v>22</v>
      </c>
      <c r="C1637" s="86">
        <f>SUM(C1624:C1636)</f>
        <v>807386.27</v>
      </c>
    </row>
    <row r="1638" spans="1:3">
      <c r="A1638" s="79"/>
      <c r="B1638" s="8"/>
      <c r="C1638" s="80"/>
    </row>
    <row r="1639" spans="1:3">
      <c r="A1639" s="55">
        <v>92722000</v>
      </c>
      <c r="B1639" s="72" t="s">
        <v>968</v>
      </c>
      <c r="C1639" s="112">
        <v>2500</v>
      </c>
    </row>
    <row r="1640" spans="1:3">
      <c r="A1640" s="55">
        <v>92722001</v>
      </c>
      <c r="B1640" s="72" t="s">
        <v>177</v>
      </c>
      <c r="C1640" s="112">
        <v>1000</v>
      </c>
    </row>
    <row r="1641" spans="1:3">
      <c r="A1641" s="55">
        <v>92722002</v>
      </c>
      <c r="B1641" s="72" t="s">
        <v>969</v>
      </c>
      <c r="C1641" s="112">
        <v>20000</v>
      </c>
    </row>
    <row r="1642" spans="1:3">
      <c r="A1642" s="55">
        <v>92722300</v>
      </c>
      <c r="B1642" s="72" t="s">
        <v>970</v>
      </c>
      <c r="C1642" s="112">
        <v>200</v>
      </c>
    </row>
    <row r="1643" spans="1:3">
      <c r="A1643" s="55">
        <v>92722706</v>
      </c>
      <c r="B1643" s="72" t="s">
        <v>971</v>
      </c>
      <c r="C1643" s="112">
        <v>30000</v>
      </c>
    </row>
    <row r="1644" spans="1:3">
      <c r="A1644" s="55">
        <v>92722707</v>
      </c>
      <c r="B1644" s="72" t="s">
        <v>82</v>
      </c>
      <c r="C1644" s="112">
        <v>10000</v>
      </c>
    </row>
    <row r="1645" spans="1:3">
      <c r="A1645" s="79"/>
      <c r="B1645" s="8" t="s">
        <v>22</v>
      </c>
      <c r="C1645" s="59">
        <f>SUM(C1639:C1644)</f>
        <v>63700</v>
      </c>
    </row>
    <row r="1646" spans="1:3">
      <c r="A1646" s="79"/>
      <c r="B1646" s="8"/>
      <c r="C1646" s="59"/>
    </row>
    <row r="1647" spans="1:3">
      <c r="A1647" s="65">
        <v>92762500</v>
      </c>
      <c r="B1647" s="66" t="s">
        <v>972</v>
      </c>
      <c r="C1647" s="148">
        <v>1200</v>
      </c>
    </row>
    <row r="1648" spans="1:3">
      <c r="A1648" s="65">
        <v>92762600</v>
      </c>
      <c r="B1648" s="66" t="s">
        <v>973</v>
      </c>
      <c r="C1648" s="148">
        <v>1300</v>
      </c>
    </row>
    <row r="1649" spans="1:3">
      <c r="A1649" s="65">
        <v>92762900</v>
      </c>
      <c r="B1649" s="66" t="s">
        <v>974</v>
      </c>
      <c r="C1649" s="148">
        <v>2000</v>
      </c>
    </row>
    <row r="1650" spans="1:3">
      <c r="A1650" s="68"/>
      <c r="B1650" s="69" t="s">
        <v>22</v>
      </c>
      <c r="C1650" s="214">
        <f>SUM(C1647:C1649)</f>
        <v>4500</v>
      </c>
    </row>
    <row r="1651" spans="1:3">
      <c r="A1651" s="79"/>
      <c r="B1651" s="8"/>
      <c r="C1651" s="57"/>
    </row>
    <row r="1652" spans="1:3">
      <c r="A1652" s="13"/>
      <c r="B1652" s="53" t="s">
        <v>975</v>
      </c>
      <c r="C1652" s="54"/>
    </row>
    <row r="1653" spans="1:3">
      <c r="A1653" s="79"/>
      <c r="B1653" s="79"/>
      <c r="C1653" s="80"/>
    </row>
    <row r="1654" spans="1:3">
      <c r="A1654" s="83">
        <v>92812000</v>
      </c>
      <c r="B1654" s="84" t="s">
        <v>49</v>
      </c>
      <c r="C1654" s="85">
        <v>64022.94</v>
      </c>
    </row>
    <row r="1655" spans="1:3">
      <c r="A1655" s="83">
        <v>92812004</v>
      </c>
      <c r="B1655" s="84" t="s">
        <v>72</v>
      </c>
      <c r="C1655" s="85">
        <v>34108.949999999997</v>
      </c>
    </row>
    <row r="1656" spans="1:3">
      <c r="A1656" s="83">
        <v>92812006</v>
      </c>
      <c r="B1656" s="84" t="s">
        <v>53</v>
      </c>
      <c r="C1656" s="85">
        <v>12691.75</v>
      </c>
    </row>
    <row r="1657" spans="1:3">
      <c r="A1657" s="83">
        <v>92812100</v>
      </c>
      <c r="B1657" s="84" t="s">
        <v>54</v>
      </c>
      <c r="C1657" s="85">
        <v>82428.73</v>
      </c>
    </row>
    <row r="1658" spans="1:3">
      <c r="A1658" s="83">
        <v>92812101</v>
      </c>
      <c r="B1658" s="84" t="s">
        <v>55</v>
      </c>
      <c r="C1658" s="85">
        <v>106809.68</v>
      </c>
    </row>
    <row r="1659" spans="1:3">
      <c r="A1659" s="83">
        <v>92812103</v>
      </c>
      <c r="B1659" s="84" t="s">
        <v>56</v>
      </c>
      <c r="C1659" s="85">
        <v>64606.17</v>
      </c>
    </row>
    <row r="1660" spans="1:3">
      <c r="A1660" s="83">
        <v>92815000</v>
      </c>
      <c r="B1660" s="84" t="s">
        <v>57</v>
      </c>
      <c r="C1660" s="85">
        <v>1685.52</v>
      </c>
    </row>
    <row r="1661" spans="1:3">
      <c r="A1661" s="83">
        <v>92816000</v>
      </c>
      <c r="B1661" s="84" t="s">
        <v>58</v>
      </c>
      <c r="C1661" s="85">
        <v>100507.22</v>
      </c>
    </row>
    <row r="1662" spans="1:3">
      <c r="A1662" s="84"/>
      <c r="B1662" s="11" t="s">
        <v>22</v>
      </c>
      <c r="C1662" s="86">
        <f>SUM(C1654:C1661)</f>
        <v>466860.95999999996</v>
      </c>
    </row>
    <row r="1663" spans="1:3">
      <c r="A1663" s="79"/>
      <c r="B1663" s="8"/>
      <c r="C1663" s="80"/>
    </row>
    <row r="1664" spans="1:3">
      <c r="A1664" s="55">
        <v>92822000</v>
      </c>
      <c r="B1664" s="72" t="s">
        <v>59</v>
      </c>
      <c r="C1664" s="73">
        <v>1000</v>
      </c>
    </row>
    <row r="1665" spans="1:3">
      <c r="A1665" s="55">
        <v>92822001</v>
      </c>
      <c r="B1665" s="72" t="s">
        <v>976</v>
      </c>
      <c r="C1665" s="73">
        <v>1000</v>
      </c>
    </row>
    <row r="1666" spans="1:3">
      <c r="A1666" s="55">
        <v>92822605</v>
      </c>
      <c r="B1666" s="72" t="s">
        <v>977</v>
      </c>
      <c r="C1666" s="73">
        <v>100</v>
      </c>
    </row>
    <row r="1667" spans="1:3">
      <c r="A1667" s="55">
        <v>92822699</v>
      </c>
      <c r="B1667" s="72" t="s">
        <v>67</v>
      </c>
      <c r="C1667" s="73">
        <v>1000</v>
      </c>
    </row>
    <row r="1668" spans="1:3">
      <c r="A1668" s="79"/>
      <c r="B1668" s="8" t="s">
        <v>22</v>
      </c>
      <c r="C1668" s="59">
        <f>SUM(C1664:C1667)</f>
        <v>3100</v>
      </c>
    </row>
    <row r="1669" spans="1:3">
      <c r="A1669" s="79"/>
      <c r="B1669" s="8"/>
      <c r="C1669" s="57"/>
    </row>
    <row r="1670" spans="1:3">
      <c r="A1670" s="65">
        <v>92862500</v>
      </c>
      <c r="B1670" s="66" t="s">
        <v>978</v>
      </c>
      <c r="C1670" s="67">
        <v>1000</v>
      </c>
    </row>
    <row r="1671" spans="1:3">
      <c r="A1671" s="65">
        <v>92862600</v>
      </c>
      <c r="B1671" s="66" t="s">
        <v>352</v>
      </c>
      <c r="C1671" s="67">
        <v>3500</v>
      </c>
    </row>
    <row r="1672" spans="1:3">
      <c r="A1672" s="68"/>
      <c r="B1672" s="69" t="s">
        <v>22</v>
      </c>
      <c r="C1672" s="70">
        <f>SUM(C1670:C1671)</f>
        <v>4500</v>
      </c>
    </row>
    <row r="1673" spans="1:3">
      <c r="A1673" s="79"/>
      <c r="B1673" s="8"/>
      <c r="C1673" s="57"/>
    </row>
    <row r="1674" spans="1:3">
      <c r="A1674" s="13"/>
      <c r="B1674" s="53" t="s">
        <v>979</v>
      </c>
      <c r="C1674" s="54"/>
    </row>
    <row r="1675" spans="1:3">
      <c r="A1675" s="79"/>
      <c r="B1675" s="8"/>
      <c r="C1675" s="57"/>
    </row>
    <row r="1676" spans="1:3">
      <c r="A1676" s="215">
        <v>92950000</v>
      </c>
      <c r="B1676" s="216" t="s">
        <v>980</v>
      </c>
      <c r="C1676" s="217">
        <v>640000</v>
      </c>
    </row>
    <row r="1677" spans="1:3">
      <c r="A1677" s="218"/>
      <c r="B1677" s="219" t="s">
        <v>22</v>
      </c>
      <c r="C1677" s="220">
        <f>SUM(C1674:C1676)</f>
        <v>640000</v>
      </c>
    </row>
    <row r="1678" spans="1:3">
      <c r="A1678" s="79"/>
      <c r="B1678" s="8"/>
      <c r="C1678" s="57"/>
    </row>
    <row r="1679" spans="1:3">
      <c r="A1679" s="13"/>
      <c r="B1679" s="53" t="s">
        <v>981</v>
      </c>
      <c r="C1679" s="54"/>
    </row>
    <row r="1680" spans="1:3">
      <c r="A1680" s="79"/>
      <c r="B1680" s="79"/>
      <c r="C1680" s="80"/>
    </row>
    <row r="1681" spans="1:3">
      <c r="A1681" s="83">
        <v>93112000</v>
      </c>
      <c r="B1681" s="84" t="s">
        <v>49</v>
      </c>
      <c r="C1681" s="85">
        <f>102703.46-7826.77</f>
        <v>94876.69</v>
      </c>
    </row>
    <row r="1682" spans="1:3">
      <c r="A1682" s="83">
        <v>93112001</v>
      </c>
      <c r="B1682" s="84" t="s">
        <v>50</v>
      </c>
      <c r="C1682" s="85">
        <v>27919.46</v>
      </c>
    </row>
    <row r="1683" spans="1:3">
      <c r="A1683" s="83">
        <v>93112003</v>
      </c>
      <c r="B1683" s="84" t="s">
        <v>51</v>
      </c>
      <c r="C1683" s="85">
        <v>21179.41</v>
      </c>
    </row>
    <row r="1684" spans="1:3">
      <c r="A1684" s="83">
        <v>93112004</v>
      </c>
      <c r="B1684" s="84" t="s">
        <v>72</v>
      </c>
      <c r="C1684" s="85">
        <v>65993.39</v>
      </c>
    </row>
    <row r="1685" spans="1:3">
      <c r="A1685" s="83">
        <v>93112006</v>
      </c>
      <c r="B1685" s="84" t="s">
        <v>53</v>
      </c>
      <c r="C1685" s="85">
        <v>41076.82</v>
      </c>
    </row>
    <row r="1686" spans="1:3">
      <c r="A1686" s="83">
        <v>93112100</v>
      </c>
      <c r="B1686" s="84" t="s">
        <v>54</v>
      </c>
      <c r="C1686" s="85">
        <f>153434.16-6048.07</f>
        <v>147386.09</v>
      </c>
    </row>
    <row r="1687" spans="1:3">
      <c r="A1687" s="83">
        <v>93112101</v>
      </c>
      <c r="B1687" s="84" t="s">
        <v>55</v>
      </c>
      <c r="C1687" s="85">
        <f>222899.04-8940.05</f>
        <v>213958.99000000002</v>
      </c>
    </row>
    <row r="1688" spans="1:3">
      <c r="A1688" s="83">
        <v>93112103</v>
      </c>
      <c r="B1688" s="84" t="s">
        <v>56</v>
      </c>
      <c r="C1688" s="85">
        <f>126715.25-3748.44</f>
        <v>122966.81</v>
      </c>
    </row>
    <row r="1689" spans="1:3">
      <c r="A1689" s="83">
        <v>93115000</v>
      </c>
      <c r="B1689" s="84" t="s">
        <v>57</v>
      </c>
      <c r="C1689" s="85">
        <v>3183.76</v>
      </c>
    </row>
    <row r="1690" spans="1:3">
      <c r="A1690" s="83">
        <v>93116000</v>
      </c>
      <c r="B1690" s="84" t="s">
        <v>58</v>
      </c>
      <c r="C1690" s="85">
        <f>159595.61-93.64</f>
        <v>159501.96999999997</v>
      </c>
    </row>
    <row r="1691" spans="1:3">
      <c r="A1691" s="84"/>
      <c r="B1691" s="11" t="s">
        <v>22</v>
      </c>
      <c r="C1691" s="86">
        <f>SUM(C1681:C1690)</f>
        <v>898043.3899999999</v>
      </c>
    </row>
    <row r="1692" spans="1:3">
      <c r="A1692" s="79"/>
      <c r="B1692" s="8"/>
      <c r="C1692" s="80"/>
    </row>
    <row r="1693" spans="1:3">
      <c r="A1693" s="55">
        <v>93122000</v>
      </c>
      <c r="B1693" s="72" t="s">
        <v>982</v>
      </c>
      <c r="C1693" s="221">
        <v>1000</v>
      </c>
    </row>
    <row r="1694" spans="1:3">
      <c r="A1694" s="55">
        <v>93122001</v>
      </c>
      <c r="B1694" s="72" t="s">
        <v>60</v>
      </c>
      <c r="C1694" s="221">
        <v>380</v>
      </c>
    </row>
    <row r="1695" spans="1:3">
      <c r="A1695" s="55">
        <v>93122004</v>
      </c>
      <c r="B1695" s="111" t="s">
        <v>983</v>
      </c>
      <c r="C1695" s="73">
        <v>8600</v>
      </c>
    </row>
    <row r="1696" spans="1:3">
      <c r="A1696" s="55">
        <v>93122300</v>
      </c>
      <c r="B1696" s="72" t="s">
        <v>79</v>
      </c>
      <c r="C1696" s="221">
        <v>500</v>
      </c>
    </row>
    <row r="1697" spans="1:3">
      <c r="A1697" s="55">
        <v>93122602</v>
      </c>
      <c r="B1697" s="72" t="s">
        <v>984</v>
      </c>
      <c r="C1697" s="221">
        <v>950</v>
      </c>
    </row>
    <row r="1698" spans="1:3">
      <c r="A1698" s="113">
        <v>93122603</v>
      </c>
      <c r="B1698" s="72" t="s">
        <v>985</v>
      </c>
      <c r="C1698" s="73">
        <v>750</v>
      </c>
    </row>
    <row r="1699" spans="1:3">
      <c r="A1699" s="55">
        <v>93122706</v>
      </c>
      <c r="B1699" s="72" t="s">
        <v>82</v>
      </c>
      <c r="C1699" s="221">
        <v>25000</v>
      </c>
    </row>
    <row r="1700" spans="1:3">
      <c r="A1700" s="79"/>
      <c r="B1700" s="8" t="s">
        <v>22</v>
      </c>
      <c r="C1700" s="81">
        <f>SUM(C1693:C1699)</f>
        <v>37180</v>
      </c>
    </row>
    <row r="1701" spans="1:3">
      <c r="A1701" s="79"/>
      <c r="B1701" s="93"/>
      <c r="C1701" s="80"/>
    </row>
    <row r="1702" spans="1:3">
      <c r="A1702" s="65">
        <v>93162700</v>
      </c>
      <c r="B1702" s="66" t="s">
        <v>986</v>
      </c>
      <c r="C1702" s="67">
        <v>5000</v>
      </c>
    </row>
    <row r="1703" spans="1:3">
      <c r="A1703" s="68"/>
      <c r="B1703" s="69" t="s">
        <v>22</v>
      </c>
      <c r="C1703" s="70">
        <f>SUM(C1702)</f>
        <v>5000</v>
      </c>
    </row>
    <row r="1704" spans="1:3">
      <c r="A1704" s="79"/>
      <c r="B1704" s="79"/>
      <c r="C1704" s="80"/>
    </row>
    <row r="1705" spans="1:3">
      <c r="A1705" s="13"/>
      <c r="B1705" s="53" t="s">
        <v>987</v>
      </c>
      <c r="C1705" s="54"/>
    </row>
    <row r="1706" spans="1:3">
      <c r="A1706" s="79"/>
      <c r="B1706" s="79"/>
      <c r="C1706" s="80"/>
    </row>
    <row r="1707" spans="1:3">
      <c r="A1707" s="83">
        <v>93312001</v>
      </c>
      <c r="B1707" s="84" t="s">
        <v>50</v>
      </c>
      <c r="C1707" s="85">
        <v>13959.73</v>
      </c>
    </row>
    <row r="1708" spans="1:3">
      <c r="A1708" s="83">
        <v>93312006</v>
      </c>
      <c r="B1708" s="84" t="s">
        <v>988</v>
      </c>
      <c r="C1708" s="85">
        <v>2532.0700000000002</v>
      </c>
    </row>
    <row r="1709" spans="1:3">
      <c r="A1709" s="83">
        <v>93312100</v>
      </c>
      <c r="B1709" s="84" t="s">
        <v>54</v>
      </c>
      <c r="C1709" s="85">
        <v>10374.51</v>
      </c>
    </row>
    <row r="1710" spans="1:3">
      <c r="A1710" s="83">
        <v>93312101</v>
      </c>
      <c r="B1710" s="84" t="s">
        <v>55</v>
      </c>
      <c r="C1710" s="85">
        <v>15752.94</v>
      </c>
    </row>
    <row r="1711" spans="1:3">
      <c r="A1711" s="83">
        <v>93312103</v>
      </c>
      <c r="B1711" s="84" t="s">
        <v>965</v>
      </c>
      <c r="C1711" s="85">
        <v>7454.63</v>
      </c>
    </row>
    <row r="1712" spans="1:3">
      <c r="A1712" s="83">
        <v>93313000</v>
      </c>
      <c r="B1712" s="84" t="s">
        <v>274</v>
      </c>
      <c r="C1712" s="85">
        <v>81088.800000000003</v>
      </c>
    </row>
    <row r="1713" spans="1:3">
      <c r="A1713" s="83">
        <v>93313002</v>
      </c>
      <c r="B1713" s="84" t="s">
        <v>989</v>
      </c>
      <c r="C1713" s="85">
        <v>118506.15</v>
      </c>
    </row>
    <row r="1714" spans="1:3">
      <c r="A1714" s="83">
        <v>93313100</v>
      </c>
      <c r="B1714" s="84" t="s">
        <v>113</v>
      </c>
      <c r="C1714" s="85">
        <v>10915</v>
      </c>
    </row>
    <row r="1715" spans="1:3">
      <c r="A1715" s="83">
        <v>93315000</v>
      </c>
      <c r="B1715" s="84" t="s">
        <v>57</v>
      </c>
      <c r="C1715" s="85">
        <v>1872.8</v>
      </c>
    </row>
    <row r="1716" spans="1:3">
      <c r="A1716" s="83">
        <v>93316000</v>
      </c>
      <c r="B1716" s="84" t="s">
        <v>58</v>
      </c>
      <c r="C1716" s="85">
        <v>89096.66</v>
      </c>
    </row>
    <row r="1717" spans="1:3">
      <c r="A1717" s="84"/>
      <c r="B1717" s="11" t="s">
        <v>22</v>
      </c>
      <c r="C1717" s="86">
        <f>SUM(C1707:C1716)</f>
        <v>351553.29000000004</v>
      </c>
    </row>
    <row r="1718" spans="1:3">
      <c r="A1718" s="79"/>
      <c r="B1718" s="79"/>
      <c r="C1718" s="80"/>
    </row>
    <row r="1719" spans="1:3">
      <c r="A1719" s="55">
        <v>93320200</v>
      </c>
      <c r="B1719" s="72" t="s">
        <v>990</v>
      </c>
      <c r="C1719" s="112">
        <v>35000</v>
      </c>
    </row>
    <row r="1720" spans="1:3">
      <c r="A1720" s="55">
        <v>93321200</v>
      </c>
      <c r="B1720" s="72" t="s">
        <v>991</v>
      </c>
      <c r="C1720" s="222">
        <v>100000</v>
      </c>
    </row>
    <row r="1721" spans="1:3">
      <c r="A1721" s="55">
        <v>93321201</v>
      </c>
      <c r="B1721" s="72" t="s">
        <v>992</v>
      </c>
      <c r="C1721" s="222">
        <v>100000</v>
      </c>
    </row>
    <row r="1722" spans="1:3">
      <c r="A1722" s="55">
        <v>93321300</v>
      </c>
      <c r="B1722" s="72" t="s">
        <v>993</v>
      </c>
      <c r="C1722" s="222">
        <v>85000</v>
      </c>
    </row>
    <row r="1723" spans="1:3">
      <c r="A1723" s="55">
        <v>93321301</v>
      </c>
      <c r="B1723" s="72" t="s">
        <v>119</v>
      </c>
      <c r="C1723" s="222">
        <v>850</v>
      </c>
    </row>
    <row r="1724" spans="1:3">
      <c r="A1724" s="55">
        <v>93321302</v>
      </c>
      <c r="B1724" s="72" t="s">
        <v>994</v>
      </c>
      <c r="C1724" s="222">
        <v>100000</v>
      </c>
    </row>
    <row r="1725" spans="1:3">
      <c r="A1725" s="55">
        <v>93321303</v>
      </c>
      <c r="B1725" s="72" t="s">
        <v>995</v>
      </c>
      <c r="C1725" s="222">
        <v>15000</v>
      </c>
    </row>
    <row r="1726" spans="1:3">
      <c r="A1726" s="55">
        <v>93321400</v>
      </c>
      <c r="B1726" s="72" t="s">
        <v>996</v>
      </c>
      <c r="C1726" s="73">
        <v>6000</v>
      </c>
    </row>
    <row r="1727" spans="1:3">
      <c r="A1727" s="55">
        <v>93322100</v>
      </c>
      <c r="B1727" s="72" t="s">
        <v>997</v>
      </c>
      <c r="C1727" s="73">
        <v>600000</v>
      </c>
    </row>
    <row r="1728" spans="1:3">
      <c r="A1728" s="55">
        <v>93322101</v>
      </c>
      <c r="B1728" s="72" t="s">
        <v>998</v>
      </c>
      <c r="C1728" s="73">
        <v>105000</v>
      </c>
    </row>
    <row r="1729" spans="1:3">
      <c r="A1729" s="55">
        <v>93322104</v>
      </c>
      <c r="B1729" s="72" t="s">
        <v>999</v>
      </c>
      <c r="C1729" s="73">
        <v>2000</v>
      </c>
    </row>
    <row r="1730" spans="1:3">
      <c r="A1730" s="55">
        <v>93322502</v>
      </c>
      <c r="B1730" s="72" t="s">
        <v>1000</v>
      </c>
      <c r="C1730" s="73">
        <v>200000</v>
      </c>
    </row>
    <row r="1731" spans="1:3">
      <c r="A1731" s="55">
        <v>93322600</v>
      </c>
      <c r="B1731" s="72" t="s">
        <v>67</v>
      </c>
      <c r="C1731" s="73">
        <v>7000</v>
      </c>
    </row>
    <row r="1732" spans="1:3">
      <c r="A1732" s="55">
        <v>93322700</v>
      </c>
      <c r="B1732" s="72" t="s">
        <v>1001</v>
      </c>
      <c r="C1732" s="73">
        <v>800000</v>
      </c>
    </row>
    <row r="1733" spans="1:3">
      <c r="A1733" s="55">
        <v>93322706</v>
      </c>
      <c r="B1733" s="72" t="s">
        <v>82</v>
      </c>
      <c r="C1733" s="73">
        <v>10000</v>
      </c>
    </row>
    <row r="1734" spans="1:3">
      <c r="A1734" s="55">
        <v>93322707</v>
      </c>
      <c r="B1734" s="72" t="s">
        <v>1002</v>
      </c>
      <c r="C1734" s="73">
        <v>30000</v>
      </c>
    </row>
    <row r="1735" spans="1:3">
      <c r="A1735" s="55">
        <v>93322709</v>
      </c>
      <c r="B1735" s="72" t="s">
        <v>1003</v>
      </c>
      <c r="C1735" s="73">
        <v>70000</v>
      </c>
    </row>
    <row r="1736" spans="1:3">
      <c r="A1736" s="79"/>
      <c r="B1736" s="8" t="s">
        <v>22</v>
      </c>
      <c r="C1736" s="59">
        <f>SUM(C1719:C1735)</f>
        <v>2265850</v>
      </c>
    </row>
    <row r="1737" spans="1:3">
      <c r="A1737" s="79"/>
      <c r="B1737" s="79"/>
      <c r="C1737" s="80"/>
    </row>
    <row r="1738" spans="1:3">
      <c r="A1738" s="65">
        <v>93362300</v>
      </c>
      <c r="B1738" s="66" t="s">
        <v>1004</v>
      </c>
      <c r="C1738" s="67">
        <v>20000</v>
      </c>
    </row>
    <row r="1739" spans="1:3">
      <c r="A1739" s="65">
        <v>93362500</v>
      </c>
      <c r="B1739" s="66" t="s">
        <v>372</v>
      </c>
      <c r="C1739" s="67">
        <v>15000</v>
      </c>
    </row>
    <row r="1740" spans="1:3">
      <c r="A1740" s="65">
        <v>93362900</v>
      </c>
      <c r="B1740" s="66" t="s">
        <v>1005</v>
      </c>
      <c r="C1740" s="67">
        <v>2000</v>
      </c>
    </row>
    <row r="1741" spans="1:3">
      <c r="A1741" s="65">
        <v>93362901</v>
      </c>
      <c r="B1741" s="66" t="s">
        <v>1006</v>
      </c>
      <c r="C1741" s="67">
        <v>5000</v>
      </c>
    </row>
    <row r="1742" spans="1:3">
      <c r="A1742" s="76"/>
      <c r="B1742" s="77" t="s">
        <v>22</v>
      </c>
      <c r="C1742" s="81">
        <f>SUM(C1738:C1741)</f>
        <v>42000</v>
      </c>
    </row>
    <row r="1743" spans="1:3">
      <c r="A1743" s="79"/>
      <c r="B1743" s="79"/>
      <c r="C1743" s="80"/>
    </row>
    <row r="1744" spans="1:3">
      <c r="A1744" s="79"/>
      <c r="B1744" s="53" t="s">
        <v>1007</v>
      </c>
      <c r="C1744" s="54"/>
    </row>
    <row r="1745" spans="1:3">
      <c r="A1745" s="13"/>
      <c r="B1745" s="93"/>
      <c r="C1745" s="80"/>
    </row>
    <row r="1746" spans="1:3">
      <c r="A1746" s="13" t="s">
        <v>1008</v>
      </c>
      <c r="B1746" s="95" t="s">
        <v>82</v>
      </c>
      <c r="C1746" s="80">
        <v>16000</v>
      </c>
    </row>
    <row r="1747" spans="1:3">
      <c r="A1747" s="55">
        <v>93422708</v>
      </c>
      <c r="B1747" s="72" t="s">
        <v>1009</v>
      </c>
      <c r="C1747" s="73">
        <v>96939.6</v>
      </c>
    </row>
    <row r="1748" spans="1:3">
      <c r="A1748" s="55">
        <v>93422710</v>
      </c>
      <c r="B1748" s="72" t="s">
        <v>1010</v>
      </c>
      <c r="C1748" s="73">
        <v>15000</v>
      </c>
    </row>
    <row r="1749" spans="1:3">
      <c r="A1749" s="79"/>
      <c r="B1749" s="8" t="s">
        <v>22</v>
      </c>
      <c r="C1749" s="81">
        <f>SUM(C1746:C1748)</f>
        <v>127939.6</v>
      </c>
    </row>
    <row r="1750" spans="1:3">
      <c r="A1750" s="79"/>
      <c r="B1750" s="8"/>
      <c r="C1750" s="78"/>
    </row>
    <row r="1751" spans="1:3">
      <c r="A1751" s="97">
        <v>93435900</v>
      </c>
      <c r="B1751" s="98" t="s">
        <v>1011</v>
      </c>
      <c r="C1751" s="99">
        <v>5000</v>
      </c>
    </row>
    <row r="1752" spans="1:3">
      <c r="A1752" s="100"/>
      <c r="B1752" s="101" t="s">
        <v>22</v>
      </c>
      <c r="C1752" s="102">
        <f>SUM(C1751)</f>
        <v>5000</v>
      </c>
    </row>
    <row r="1753" spans="1:3">
      <c r="A1753" s="79"/>
      <c r="B1753" s="8"/>
      <c r="C1753" s="78"/>
    </row>
    <row r="1754" spans="1:3">
      <c r="A1754" s="13"/>
      <c r="B1754" s="53" t="s">
        <v>1012</v>
      </c>
      <c r="C1754" s="54"/>
    </row>
    <row r="1755" spans="1:3">
      <c r="A1755" s="79"/>
      <c r="B1755" s="8"/>
      <c r="C1755" s="78"/>
    </row>
    <row r="1756" spans="1:3">
      <c r="A1756" s="55">
        <v>94322605</v>
      </c>
      <c r="B1756" s="111" t="s">
        <v>1013</v>
      </c>
      <c r="C1756" s="73">
        <v>7000</v>
      </c>
    </row>
    <row r="1757" spans="1:3">
      <c r="A1757" s="55">
        <v>94322608</v>
      </c>
      <c r="B1757" s="111" t="s">
        <v>1014</v>
      </c>
      <c r="C1757" s="73">
        <v>10000</v>
      </c>
    </row>
    <row r="1758" spans="1:3">
      <c r="A1758" s="79"/>
      <c r="B1758" s="8" t="s">
        <v>22</v>
      </c>
      <c r="C1758" s="81">
        <f>SUM(C1756:C1757)</f>
        <v>17000</v>
      </c>
    </row>
    <row r="1759" spans="1:3">
      <c r="A1759" s="79"/>
      <c r="B1759" s="8"/>
      <c r="C1759" s="78"/>
    </row>
    <row r="1760" spans="1:3">
      <c r="A1760" s="60">
        <v>94346700</v>
      </c>
      <c r="B1760" s="61" t="s">
        <v>1015</v>
      </c>
      <c r="C1760" s="74">
        <v>271868.34000000003</v>
      </c>
    </row>
    <row r="1761" spans="1:3">
      <c r="A1761" s="60">
        <v>94346701</v>
      </c>
      <c r="B1761" s="61" t="s">
        <v>1016</v>
      </c>
      <c r="C1761" s="74">
        <v>149276.29</v>
      </c>
    </row>
    <row r="1762" spans="1:3">
      <c r="A1762" s="60">
        <v>94348900</v>
      </c>
      <c r="B1762" s="61" t="s">
        <v>1017</v>
      </c>
      <c r="C1762" s="74">
        <v>294031.44</v>
      </c>
    </row>
    <row r="1763" spans="1:3">
      <c r="A1763" s="75"/>
      <c r="B1763" s="63" t="s">
        <v>22</v>
      </c>
      <c r="C1763" s="64">
        <f>SUM(C1760:C1762)</f>
        <v>715176.07000000007</v>
      </c>
    </row>
    <row r="1764" spans="1:3">
      <c r="A1764" s="79"/>
      <c r="B1764" s="79"/>
      <c r="C1764" s="80"/>
    </row>
    <row r="1765" spans="1:3">
      <c r="A1765" s="7"/>
      <c r="B1765" s="223" t="s">
        <v>1018</v>
      </c>
      <c r="C1765" s="224"/>
    </row>
  </sheetData>
  <mergeCells count="1">
    <mergeCell ref="A1:C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39"/>
  <sheetViews>
    <sheetView tabSelected="1" workbookViewId="0">
      <selection activeCell="I36" sqref="I36"/>
    </sheetView>
  </sheetViews>
  <sheetFormatPr baseColWidth="10" defaultRowHeight="21.95" customHeight="1"/>
  <cols>
    <col min="1" max="1" width="10" style="228" customWidth="1"/>
    <col min="2" max="2" width="70.5703125" style="226" customWidth="1"/>
    <col min="3" max="3" width="6.7109375" style="227" hidden="1" customWidth="1"/>
    <col min="4" max="4" width="20.5703125" style="227" customWidth="1"/>
    <col min="5" max="16384" width="11.42578125" style="228"/>
  </cols>
  <sheetData>
    <row r="1" spans="1:4" ht="15.75">
      <c r="A1" s="225" t="s">
        <v>0</v>
      </c>
    </row>
    <row r="2" spans="1:4" ht="15.75">
      <c r="A2" s="229"/>
      <c r="B2" s="230" t="s">
        <v>1019</v>
      </c>
    </row>
    <row r="3" spans="1:4" ht="12.75">
      <c r="A3" s="229"/>
      <c r="B3" s="231"/>
      <c r="C3" s="232">
        <v>2008</v>
      </c>
      <c r="D3" s="233">
        <v>2019</v>
      </c>
    </row>
    <row r="4" spans="1:4" ht="12.75">
      <c r="A4" s="234"/>
      <c r="B4" s="235" t="s">
        <v>1020</v>
      </c>
      <c r="C4" s="236" t="s">
        <v>3</v>
      </c>
      <c r="D4" s="237" t="s">
        <v>3</v>
      </c>
    </row>
    <row r="5" spans="1:4" ht="12.75">
      <c r="A5" s="238" t="s">
        <v>1021</v>
      </c>
      <c r="B5" s="239"/>
      <c r="C5" s="240">
        <v>558850</v>
      </c>
      <c r="D5" s="241">
        <f>D21</f>
        <v>532264.48</v>
      </c>
    </row>
    <row r="6" spans="1:4" ht="12.75">
      <c r="A6" s="238" t="s">
        <v>1022</v>
      </c>
      <c r="B6" s="239"/>
      <c r="C6" s="240">
        <v>30278085</v>
      </c>
      <c r="D6" s="241">
        <f>+D37</f>
        <v>37852339</v>
      </c>
    </row>
    <row r="7" spans="1:4" ht="12.75">
      <c r="A7" s="238" t="s">
        <v>1023</v>
      </c>
      <c r="B7" s="242"/>
      <c r="C7" s="240">
        <v>5314202.8099999996</v>
      </c>
      <c r="D7" s="241">
        <f>+D74</f>
        <v>4571400</v>
      </c>
    </row>
    <row r="8" spans="1:4" ht="12.75">
      <c r="A8" s="238" t="s">
        <v>1024</v>
      </c>
      <c r="B8" s="243"/>
      <c r="C8" s="240">
        <v>42959750.390000001</v>
      </c>
      <c r="D8" s="241">
        <f>+D95</f>
        <v>67926730.730000019</v>
      </c>
    </row>
    <row r="9" spans="1:4" ht="12.75">
      <c r="A9" s="244" t="s">
        <v>1025</v>
      </c>
      <c r="B9" s="239"/>
      <c r="C9" s="240">
        <v>150000.04</v>
      </c>
      <c r="D9" s="241">
        <f>D101</f>
        <v>1900</v>
      </c>
    </row>
    <row r="10" spans="1:4" ht="12.75">
      <c r="A10" s="238" t="s">
        <v>1026</v>
      </c>
      <c r="B10" s="239"/>
      <c r="C10" s="240">
        <v>16453533.65</v>
      </c>
      <c r="D10" s="241">
        <f>+D111</f>
        <v>10782697.539999999</v>
      </c>
    </row>
    <row r="11" spans="1:4" ht="12.75">
      <c r="A11" s="238" t="s">
        <v>1027</v>
      </c>
      <c r="B11" s="239"/>
      <c r="C11" s="240">
        <v>318000</v>
      </c>
      <c r="D11" s="241">
        <f>D119</f>
        <v>318000</v>
      </c>
    </row>
    <row r="12" spans="1:4" ht="13.5" thickBot="1">
      <c r="A12" s="245" t="s">
        <v>1028</v>
      </c>
      <c r="B12" s="246"/>
      <c r="C12" s="240">
        <v>6000000</v>
      </c>
      <c r="D12" s="241">
        <v>0</v>
      </c>
    </row>
    <row r="13" spans="1:4" ht="12.75">
      <c r="B13" s="247">
        <v>140</v>
      </c>
      <c r="C13" s="248">
        <f>SUM(C5:C12)</f>
        <v>102032421.89000002</v>
      </c>
      <c r="D13" s="249">
        <f>SUM(D5:D12)</f>
        <v>121985331.75</v>
      </c>
    </row>
    <row r="14" spans="1:4" ht="12.75">
      <c r="B14" s="250" t="s">
        <v>1029</v>
      </c>
      <c r="C14" s="251">
        <f>'[2]GASTOS 2009'!C14</f>
        <v>97999127.890000001</v>
      </c>
      <c r="D14" s="251">
        <f>+'[1]GASTOS-ok'!C15</f>
        <v>121985331.75000001</v>
      </c>
    </row>
    <row r="15" spans="1:4" ht="12.75">
      <c r="B15" s="250" t="s">
        <v>16</v>
      </c>
      <c r="C15" s="251">
        <f>C13-'[2]GASTOS 2009'!C14</f>
        <v>4033294.0000000149</v>
      </c>
      <c r="D15" s="251">
        <f>+D13-D14</f>
        <v>0</v>
      </c>
    </row>
    <row r="16" spans="1:4" s="253" customFormat="1" ht="15">
      <c r="A16" s="252" t="s">
        <v>1021</v>
      </c>
      <c r="B16" s="252"/>
      <c r="C16" s="227"/>
      <c r="D16" s="227"/>
    </row>
    <row r="17" spans="1:4" ht="12.75">
      <c r="A17" s="252"/>
      <c r="B17" s="252"/>
    </row>
    <row r="18" spans="1:4" ht="12.75">
      <c r="A18" s="254" t="s">
        <v>1030</v>
      </c>
      <c r="B18" s="255" t="s">
        <v>1031</v>
      </c>
      <c r="C18" s="236" t="s">
        <v>3</v>
      </c>
      <c r="D18" s="236" t="s">
        <v>3</v>
      </c>
    </row>
    <row r="19" spans="1:4" ht="15">
      <c r="A19" s="256">
        <v>10000</v>
      </c>
      <c r="B19" s="161" t="s">
        <v>1032</v>
      </c>
      <c r="C19" s="257">
        <v>445850</v>
      </c>
      <c r="D19" s="258">
        <f>485570-3305.52</f>
        <v>482264.48</v>
      </c>
    </row>
    <row r="20" spans="1:4" ht="15">
      <c r="A20" s="256">
        <v>17100</v>
      </c>
      <c r="B20" s="161" t="s">
        <v>1033</v>
      </c>
      <c r="C20" s="257"/>
      <c r="D20" s="258">
        <v>50000</v>
      </c>
    </row>
    <row r="21" spans="1:4" ht="12.75">
      <c r="B21" s="252" t="s">
        <v>1034</v>
      </c>
      <c r="C21" s="240">
        <f>SUM(C19:C19)</f>
        <v>445850</v>
      </c>
      <c r="D21" s="241">
        <f>SUM(D19:D20)</f>
        <v>532264.48</v>
      </c>
    </row>
    <row r="22" spans="1:4" ht="12.75">
      <c r="B22" s="228"/>
    </row>
    <row r="23" spans="1:4" s="253" customFormat="1" ht="15">
      <c r="A23" s="252" t="s">
        <v>1022</v>
      </c>
      <c r="B23" s="252"/>
      <c r="C23" s="227"/>
      <c r="D23" s="227"/>
    </row>
    <row r="24" spans="1:4" ht="12.75">
      <c r="A24" s="252"/>
      <c r="B24" s="252"/>
    </row>
    <row r="25" spans="1:4" ht="12.75">
      <c r="A25" s="254" t="s">
        <v>1030</v>
      </c>
      <c r="B25" s="259" t="s">
        <v>1031</v>
      </c>
      <c r="C25" s="236" t="s">
        <v>3</v>
      </c>
      <c r="D25" s="236" t="s">
        <v>3</v>
      </c>
    </row>
    <row r="26" spans="1:4" s="262" customFormat="1" ht="15">
      <c r="A26" s="256">
        <v>22000</v>
      </c>
      <c r="B26" s="260" t="s">
        <v>1035</v>
      </c>
      <c r="C26" s="261">
        <v>25301799</v>
      </c>
      <c r="D26" s="258">
        <f>9660-243.72-0.28</f>
        <v>9416</v>
      </c>
    </row>
    <row r="27" spans="1:4" ht="15">
      <c r="A27" s="263">
        <v>22001</v>
      </c>
      <c r="B27" s="264" t="s">
        <v>1036</v>
      </c>
      <c r="C27" s="265">
        <v>4713666</v>
      </c>
      <c r="D27" s="258">
        <f>4010-7.44-0.56</f>
        <v>4002</v>
      </c>
    </row>
    <row r="28" spans="1:4" ht="15">
      <c r="A28" s="256">
        <v>22005</v>
      </c>
      <c r="B28" s="260" t="s">
        <v>1037</v>
      </c>
      <c r="C28" s="265">
        <v>242000</v>
      </c>
      <c r="D28" s="258">
        <v>356183</v>
      </c>
    </row>
    <row r="29" spans="1:4" ht="15">
      <c r="A29" s="256">
        <v>22015</v>
      </c>
      <c r="B29" s="260" t="s">
        <v>1038</v>
      </c>
      <c r="C29" s="265"/>
      <c r="D29" s="258">
        <v>28438</v>
      </c>
    </row>
    <row r="30" spans="1:4" ht="15">
      <c r="A30" s="263">
        <v>22006</v>
      </c>
      <c r="B30" s="264" t="s">
        <v>1039</v>
      </c>
      <c r="C30" s="265">
        <v>20620</v>
      </c>
      <c r="D30" s="258">
        <f>220-4.92-0.08</f>
        <v>215</v>
      </c>
    </row>
    <row r="31" spans="1:4" ht="15">
      <c r="A31" s="256">
        <v>22009</v>
      </c>
      <c r="B31" s="71" t="s">
        <v>1040</v>
      </c>
      <c r="C31" s="267">
        <f>SUM(C26:C30)</f>
        <v>30278085</v>
      </c>
      <c r="D31" s="258">
        <v>850000</v>
      </c>
    </row>
    <row r="32" spans="1:4" ht="15">
      <c r="A32" s="256">
        <v>29200</v>
      </c>
      <c r="B32" s="260" t="s">
        <v>1041</v>
      </c>
      <c r="D32" s="258">
        <v>2844735</v>
      </c>
    </row>
    <row r="33" spans="1:4" ht="15">
      <c r="A33" s="256">
        <v>29210</v>
      </c>
      <c r="B33" s="260" t="s">
        <v>1042</v>
      </c>
      <c r="D33" s="258">
        <v>227083</v>
      </c>
    </row>
    <row r="34" spans="1:4" s="253" customFormat="1" ht="15">
      <c r="A34" s="256">
        <v>29300</v>
      </c>
      <c r="B34" s="260" t="s">
        <v>1043</v>
      </c>
      <c r="C34" s="227"/>
      <c r="D34" s="258">
        <v>29822688</v>
      </c>
    </row>
    <row r="35" spans="1:4" s="253" customFormat="1" ht="15">
      <c r="A35" s="268">
        <v>29310</v>
      </c>
      <c r="B35" s="269" t="s">
        <v>1044</v>
      </c>
      <c r="C35" s="227"/>
      <c r="D35" s="270">
        <v>2380617</v>
      </c>
    </row>
    <row r="36" spans="1:4" s="253" customFormat="1" ht="15">
      <c r="A36" s="256">
        <v>29320</v>
      </c>
      <c r="B36" s="111" t="s">
        <v>1045</v>
      </c>
      <c r="C36" s="257"/>
      <c r="D36" s="258">
        <v>1328962</v>
      </c>
    </row>
    <row r="37" spans="1:4" ht="12.75">
      <c r="B37" s="252" t="s">
        <v>1046</v>
      </c>
      <c r="C37" s="271">
        <v>6000</v>
      </c>
      <c r="D37" s="272">
        <f>SUM(D26:D36)</f>
        <v>37852339</v>
      </c>
    </row>
    <row r="38" spans="1:4" ht="12.75">
      <c r="B38" s="228"/>
      <c r="C38" s="265"/>
      <c r="D38" s="273"/>
    </row>
    <row r="39" spans="1:4" ht="12.75">
      <c r="A39" s="252" t="s">
        <v>1023</v>
      </c>
      <c r="B39" s="252"/>
      <c r="C39" s="265">
        <v>0.01</v>
      </c>
      <c r="D39" s="273"/>
    </row>
    <row r="40" spans="1:4" ht="12.75">
      <c r="A40" s="252"/>
      <c r="B40" s="252"/>
      <c r="C40" s="265">
        <v>5000</v>
      </c>
      <c r="D40" s="273"/>
    </row>
    <row r="41" spans="1:4" ht="12.75">
      <c r="A41" s="254" t="s">
        <v>1030</v>
      </c>
      <c r="B41" s="259" t="s">
        <v>1031</v>
      </c>
      <c r="C41" s="274"/>
      <c r="D41" s="237" t="s">
        <v>3</v>
      </c>
    </row>
    <row r="42" spans="1:4" ht="25.5">
      <c r="A42" s="275">
        <v>30300</v>
      </c>
      <c r="B42" s="276" t="s">
        <v>1047</v>
      </c>
      <c r="C42" s="277"/>
      <c r="D42" s="278">
        <v>150000</v>
      </c>
    </row>
    <row r="43" spans="1:4" ht="15">
      <c r="A43" s="279">
        <v>30301</v>
      </c>
      <c r="B43" s="280" t="s">
        <v>1048</v>
      </c>
      <c r="C43" s="281"/>
      <c r="D43" s="278">
        <v>1200000</v>
      </c>
    </row>
    <row r="44" spans="1:4" ht="15">
      <c r="A44" s="275">
        <v>31000</v>
      </c>
      <c r="B44" s="282" t="s">
        <v>1049</v>
      </c>
      <c r="C44" s="277"/>
      <c r="D44" s="278">
        <v>1740000</v>
      </c>
    </row>
    <row r="45" spans="1:4" ht="25.5">
      <c r="A45" s="275">
        <v>31100</v>
      </c>
      <c r="B45" s="282" t="s">
        <v>1050</v>
      </c>
      <c r="C45" s="277"/>
      <c r="D45" s="278">
        <v>860000</v>
      </c>
    </row>
    <row r="46" spans="1:4" ht="15">
      <c r="A46" s="283">
        <v>31300</v>
      </c>
      <c r="B46" s="284" t="s">
        <v>1051</v>
      </c>
      <c r="C46" s="285"/>
      <c r="D46" s="286">
        <v>14000</v>
      </c>
    </row>
    <row r="47" spans="1:4" ht="15">
      <c r="A47" s="275">
        <v>32000</v>
      </c>
      <c r="B47" s="282" t="s">
        <v>1052</v>
      </c>
      <c r="C47" s="277"/>
      <c r="D47" s="278">
        <v>48000</v>
      </c>
    </row>
    <row r="48" spans="1:4" ht="15">
      <c r="A48" s="275">
        <v>32500</v>
      </c>
      <c r="B48" s="282" t="s">
        <v>1053</v>
      </c>
      <c r="C48" s="277"/>
      <c r="D48" s="278">
        <v>18000</v>
      </c>
    </row>
    <row r="49" spans="1:4" ht="15">
      <c r="A49" s="275">
        <v>32501</v>
      </c>
      <c r="B49" s="282" t="s">
        <v>1054</v>
      </c>
      <c r="C49" s="277"/>
      <c r="D49" s="278">
        <v>12000</v>
      </c>
    </row>
    <row r="50" spans="1:4" ht="15">
      <c r="A50" s="275">
        <v>32701</v>
      </c>
      <c r="B50" s="282" t="s">
        <v>1055</v>
      </c>
      <c r="C50" s="277"/>
      <c r="D50" s="278">
        <v>15000</v>
      </c>
    </row>
    <row r="51" spans="1:4" ht="15">
      <c r="A51" s="275">
        <v>32702</v>
      </c>
      <c r="B51" s="282" t="s">
        <v>1056</v>
      </c>
      <c r="C51" s="277"/>
      <c r="D51" s="278">
        <v>43000</v>
      </c>
    </row>
    <row r="52" spans="1:4" ht="15">
      <c r="A52" s="275">
        <v>32703</v>
      </c>
      <c r="B52" s="282" t="s">
        <v>1057</v>
      </c>
      <c r="C52" s="277"/>
      <c r="D52" s="278">
        <v>110000</v>
      </c>
    </row>
    <row r="53" spans="1:4" ht="15">
      <c r="A53" s="275">
        <v>32705</v>
      </c>
      <c r="B53" s="282" t="s">
        <v>1058</v>
      </c>
      <c r="C53" s="277"/>
      <c r="D53" s="278">
        <v>500</v>
      </c>
    </row>
    <row r="54" spans="1:4" ht="15">
      <c r="A54" s="275">
        <v>33800</v>
      </c>
      <c r="B54" s="282" t="s">
        <v>1059</v>
      </c>
      <c r="C54" s="287"/>
      <c r="D54" s="288">
        <v>15000</v>
      </c>
    </row>
    <row r="55" spans="1:4" ht="12.75">
      <c r="A55" s="289">
        <v>33900</v>
      </c>
      <c r="B55" s="282" t="s">
        <v>1060</v>
      </c>
      <c r="C55" s="287"/>
      <c r="D55" s="288">
        <v>12000</v>
      </c>
    </row>
    <row r="56" spans="1:4" ht="25.5">
      <c r="A56" s="275">
        <v>34100</v>
      </c>
      <c r="B56" s="282" t="s">
        <v>1061</v>
      </c>
      <c r="C56" s="287"/>
      <c r="D56" s="288">
        <v>3000</v>
      </c>
    </row>
    <row r="57" spans="1:4" ht="15">
      <c r="A57" s="275">
        <v>34101</v>
      </c>
      <c r="B57" s="282" t="s">
        <v>1062</v>
      </c>
      <c r="C57" s="287"/>
      <c r="D57" s="288">
        <v>200000</v>
      </c>
    </row>
    <row r="58" spans="1:4" ht="15">
      <c r="A58" s="275">
        <v>34102</v>
      </c>
      <c r="B58" s="282" t="s">
        <v>1063</v>
      </c>
      <c r="C58" s="287"/>
      <c r="D58" s="288">
        <v>85000</v>
      </c>
    </row>
    <row r="59" spans="1:4" ht="15">
      <c r="A59" s="275">
        <v>34300</v>
      </c>
      <c r="B59" s="282" t="s">
        <v>1064</v>
      </c>
      <c r="C59" s="287"/>
      <c r="D59" s="288">
        <v>10000</v>
      </c>
    </row>
    <row r="60" spans="1:4" ht="15">
      <c r="A60" s="275">
        <v>34301</v>
      </c>
      <c r="B60" s="282" t="s">
        <v>1065</v>
      </c>
      <c r="C60" s="287"/>
      <c r="D60" s="288">
        <v>15000</v>
      </c>
    </row>
    <row r="61" spans="1:4" ht="12.75">
      <c r="A61" s="289">
        <v>34400</v>
      </c>
      <c r="B61" s="282" t="s">
        <v>1066</v>
      </c>
      <c r="C61" s="287"/>
      <c r="D61" s="288">
        <v>10000</v>
      </c>
    </row>
    <row r="62" spans="1:4" ht="12.75">
      <c r="A62" s="289">
        <v>34900</v>
      </c>
      <c r="B62" s="282" t="s">
        <v>1067</v>
      </c>
      <c r="C62" s="287"/>
      <c r="D62" s="288">
        <v>5000</v>
      </c>
    </row>
    <row r="63" spans="1:4" ht="12.75">
      <c r="A63" s="289">
        <v>34901</v>
      </c>
      <c r="B63" s="282" t="s">
        <v>1068</v>
      </c>
      <c r="C63" s="287"/>
      <c r="D63" s="288">
        <v>500</v>
      </c>
    </row>
    <row r="64" spans="1:4" ht="12.75">
      <c r="A64" s="289">
        <v>34902</v>
      </c>
      <c r="B64" s="282" t="s">
        <v>1069</v>
      </c>
      <c r="C64" s="287"/>
      <c r="D64" s="288">
        <v>500</v>
      </c>
    </row>
    <row r="65" spans="1:4" ht="12.75">
      <c r="A65" s="289">
        <v>34903</v>
      </c>
      <c r="B65" s="282" t="s">
        <v>1070</v>
      </c>
      <c r="C65" s="287"/>
      <c r="D65" s="288">
        <v>500</v>
      </c>
    </row>
    <row r="66" spans="1:4" s="253" customFormat="1" ht="15">
      <c r="A66" s="275">
        <v>36000</v>
      </c>
      <c r="B66" s="282" t="s">
        <v>1071</v>
      </c>
      <c r="C66" s="290"/>
      <c r="D66" s="278">
        <v>1000</v>
      </c>
    </row>
    <row r="67" spans="1:4" s="253" customFormat="1" ht="15">
      <c r="A67" s="279">
        <v>36001</v>
      </c>
      <c r="B67" s="280" t="s">
        <v>1072</v>
      </c>
      <c r="C67" s="291"/>
      <c r="D67" s="278">
        <v>600</v>
      </c>
    </row>
    <row r="68" spans="1:4" ht="15">
      <c r="A68" s="275">
        <v>38200</v>
      </c>
      <c r="B68" s="282" t="s">
        <v>1073</v>
      </c>
      <c r="C68" s="292"/>
      <c r="D68" s="278">
        <v>700</v>
      </c>
    </row>
    <row r="69" spans="1:4" ht="15">
      <c r="A69" s="275">
        <v>39130</v>
      </c>
      <c r="B69" s="282" t="s">
        <v>1074</v>
      </c>
      <c r="C69" s="292"/>
      <c r="D69" s="278">
        <v>500</v>
      </c>
    </row>
    <row r="70" spans="1:4" ht="15">
      <c r="A70" s="275">
        <v>39131</v>
      </c>
      <c r="B70" s="282" t="s">
        <v>1075</v>
      </c>
      <c r="C70" s="293"/>
      <c r="D70" s="278">
        <v>500</v>
      </c>
    </row>
    <row r="71" spans="1:4" ht="15">
      <c r="A71" s="275">
        <v>39132</v>
      </c>
      <c r="B71" s="282" t="s">
        <v>1076</v>
      </c>
      <c r="C71" s="294"/>
      <c r="D71" s="278">
        <v>500</v>
      </c>
    </row>
    <row r="72" spans="1:4" ht="15">
      <c r="A72" s="275">
        <v>39133</v>
      </c>
      <c r="B72" s="282" t="s">
        <v>1077</v>
      </c>
      <c r="C72" s="294"/>
      <c r="D72" s="278">
        <v>500</v>
      </c>
    </row>
    <row r="73" spans="1:4" ht="15">
      <c r="A73" s="275">
        <v>39802</v>
      </c>
      <c r="B73" s="282" t="s">
        <v>1078</v>
      </c>
      <c r="C73" s="294"/>
      <c r="D73" s="278">
        <v>100</v>
      </c>
    </row>
    <row r="74" spans="1:4" ht="12.75">
      <c r="B74" s="252" t="s">
        <v>1079</v>
      </c>
      <c r="C74" s="261">
        <v>61300</v>
      </c>
      <c r="D74" s="295">
        <f>SUM(D42:D73)</f>
        <v>4571400</v>
      </c>
    </row>
    <row r="75" spans="1:4" ht="12.75">
      <c r="B75" s="252"/>
      <c r="C75" s="296"/>
      <c r="D75" s="297"/>
    </row>
    <row r="76" spans="1:4" ht="12.75">
      <c r="A76" s="252" t="s">
        <v>1024</v>
      </c>
      <c r="B76" s="252"/>
    </row>
    <row r="77" spans="1:4" ht="12.75">
      <c r="A77" s="252"/>
      <c r="B77" s="252"/>
    </row>
    <row r="78" spans="1:4" ht="12.75">
      <c r="A78" s="254" t="s">
        <v>1030</v>
      </c>
      <c r="B78" s="259" t="s">
        <v>1031</v>
      </c>
      <c r="C78" s="236" t="s">
        <v>3</v>
      </c>
      <c r="D78" s="236" t="s">
        <v>3</v>
      </c>
    </row>
    <row r="79" spans="1:4" ht="15">
      <c r="A79" s="256">
        <v>42010</v>
      </c>
      <c r="B79" s="111" t="s">
        <v>1080</v>
      </c>
      <c r="C79" s="261"/>
      <c r="D79" s="258">
        <f>18248347.79-493827.19-117150.9</f>
        <v>17637369.699999999</v>
      </c>
    </row>
    <row r="80" spans="1:4" ht="15">
      <c r="A80" s="256">
        <v>42020</v>
      </c>
      <c r="B80" s="298" t="s">
        <v>1081</v>
      </c>
      <c r="C80" s="261"/>
      <c r="D80" s="258">
        <f>176882.21-6808.65-2488.5</f>
        <v>167585.06</v>
      </c>
    </row>
    <row r="81" spans="1:4" ht="18" customHeight="1">
      <c r="A81" s="256">
        <v>42090</v>
      </c>
      <c r="B81" s="298" t="s">
        <v>1082</v>
      </c>
      <c r="C81" s="261"/>
      <c r="D81" s="258">
        <f>7013820-189861.12-119639.4</f>
        <v>6704319.4799999995</v>
      </c>
    </row>
    <row r="82" spans="1:4" ht="18" customHeight="1">
      <c r="A82" s="256">
        <v>42110</v>
      </c>
      <c r="B82" s="298" t="s">
        <v>1083</v>
      </c>
      <c r="C82" s="261"/>
      <c r="D82" s="258">
        <v>29500</v>
      </c>
    </row>
    <row r="83" spans="1:4" ht="18" customHeight="1">
      <c r="A83" s="256">
        <v>45001</v>
      </c>
      <c r="B83" s="298" t="s">
        <v>1084</v>
      </c>
      <c r="C83" s="261"/>
      <c r="D83" s="258">
        <f>28116126-632379.81+2174796.41+2361064.13</f>
        <v>32019606.73</v>
      </c>
    </row>
    <row r="84" spans="1:4" ht="18" customHeight="1">
      <c r="A84" s="256">
        <v>45007</v>
      </c>
      <c r="B84" s="299" t="s">
        <v>1085</v>
      </c>
      <c r="C84" s="261"/>
      <c r="D84" s="258">
        <v>1761899</v>
      </c>
    </row>
    <row r="85" spans="1:4" ht="18" customHeight="1">
      <c r="A85" s="256">
        <v>45011</v>
      </c>
      <c r="B85" s="298" t="s">
        <v>1086</v>
      </c>
      <c r="C85" s="261"/>
      <c r="D85" s="258">
        <f>4878483-961971.44</f>
        <v>3916511.56</v>
      </c>
    </row>
    <row r="86" spans="1:4" ht="18" customHeight="1">
      <c r="A86" s="256">
        <v>45015</v>
      </c>
      <c r="B86" s="111" t="s">
        <v>1087</v>
      </c>
      <c r="D86" s="258">
        <v>1836933</v>
      </c>
    </row>
    <row r="87" spans="1:4" ht="18" customHeight="1">
      <c r="A87" s="256">
        <v>45016</v>
      </c>
      <c r="B87" s="111" t="s">
        <v>1088</v>
      </c>
      <c r="D87" s="258">
        <v>146635</v>
      </c>
    </row>
    <row r="88" spans="1:4" ht="18" customHeight="1">
      <c r="A88" s="256">
        <v>45062</v>
      </c>
      <c r="B88" s="298" t="s">
        <v>1089</v>
      </c>
      <c r="C88" s="261"/>
      <c r="D88" s="258">
        <v>2421750</v>
      </c>
    </row>
    <row r="89" spans="1:4" ht="18" customHeight="1">
      <c r="A89" s="256">
        <v>45065</v>
      </c>
      <c r="B89" s="298" t="s">
        <v>1090</v>
      </c>
      <c r="C89" s="261"/>
      <c r="D89" s="258">
        <v>500000</v>
      </c>
    </row>
    <row r="90" spans="1:4" ht="18" customHeight="1">
      <c r="A90" s="256">
        <v>45103</v>
      </c>
      <c r="B90" s="298" t="s">
        <v>1091</v>
      </c>
      <c r="C90" s="261"/>
      <c r="D90" s="258">
        <v>15000</v>
      </c>
    </row>
    <row r="91" spans="1:4" ht="18" customHeight="1">
      <c r="A91" s="256">
        <v>45104</v>
      </c>
      <c r="B91" s="298" t="s">
        <v>1092</v>
      </c>
      <c r="C91" s="261"/>
      <c r="D91" s="258">
        <v>375141.43</v>
      </c>
    </row>
    <row r="92" spans="1:4" ht="18" customHeight="1">
      <c r="A92" s="256">
        <v>45105</v>
      </c>
      <c r="B92" s="298" t="s">
        <v>1093</v>
      </c>
      <c r="C92" s="261"/>
      <c r="D92" s="258">
        <v>24838.400000000001</v>
      </c>
    </row>
    <row r="93" spans="1:4" ht="18" customHeight="1">
      <c r="A93" s="256">
        <v>48002</v>
      </c>
      <c r="B93" s="298" t="s">
        <v>1094</v>
      </c>
      <c r="C93" s="261"/>
      <c r="D93" s="258">
        <v>148000</v>
      </c>
    </row>
    <row r="94" spans="1:4" ht="18" customHeight="1">
      <c r="A94" s="256">
        <v>49100</v>
      </c>
      <c r="B94" s="111" t="s">
        <v>1095</v>
      </c>
      <c r="C94" s="296"/>
      <c r="D94" s="300">
        <v>221641.37</v>
      </c>
    </row>
    <row r="95" spans="1:4" ht="18" customHeight="1">
      <c r="B95" s="252" t="s">
        <v>1096</v>
      </c>
      <c r="D95" s="272">
        <f>SUM(D79:D94)</f>
        <v>67926730.730000019</v>
      </c>
    </row>
    <row r="96" spans="1:4" ht="18" customHeight="1">
      <c r="B96" s="252"/>
      <c r="C96" s="261"/>
      <c r="D96" s="297"/>
    </row>
    <row r="97" spans="1:4" ht="12.75">
      <c r="A97" s="252" t="s">
        <v>1025</v>
      </c>
      <c r="B97" s="252"/>
      <c r="C97" s="240">
        <f>SUM(C71:C74)</f>
        <v>61300</v>
      </c>
      <c r="D97" s="228"/>
    </row>
    <row r="98" spans="1:4" ht="12.75">
      <c r="A98" s="252"/>
      <c r="B98" s="252"/>
      <c r="D98" s="228"/>
    </row>
    <row r="99" spans="1:4" ht="12.75">
      <c r="A99" s="254" t="s">
        <v>1030</v>
      </c>
      <c r="B99" s="259" t="s">
        <v>1031</v>
      </c>
      <c r="D99" s="237" t="s">
        <v>3</v>
      </c>
    </row>
    <row r="100" spans="1:4" ht="15">
      <c r="A100" s="256">
        <v>52000</v>
      </c>
      <c r="B100" s="301" t="s">
        <v>1097</v>
      </c>
      <c r="C100" s="236" t="s">
        <v>3</v>
      </c>
      <c r="D100" s="258">
        <v>1900</v>
      </c>
    </row>
    <row r="101" spans="1:4" ht="12.75">
      <c r="A101" s="302"/>
      <c r="B101" s="252" t="s">
        <v>1098</v>
      </c>
      <c r="D101" s="241">
        <f>SUM(D100:D100)</f>
        <v>1900</v>
      </c>
    </row>
    <row r="102" spans="1:4" ht="12.75">
      <c r="B102" s="228"/>
      <c r="D102" s="266"/>
    </row>
    <row r="103" spans="1:4" ht="12.75">
      <c r="A103" s="252" t="s">
        <v>1026</v>
      </c>
      <c r="B103" s="252"/>
      <c r="C103" s="274">
        <v>629704</v>
      </c>
      <c r="D103" s="266"/>
    </row>
    <row r="104" spans="1:4" ht="12.75">
      <c r="A104" s="252"/>
      <c r="B104" s="252"/>
      <c r="C104" s="274">
        <v>1361970</v>
      </c>
      <c r="D104" s="266"/>
    </row>
    <row r="105" spans="1:4" ht="12.75">
      <c r="A105" s="254" t="s">
        <v>1030</v>
      </c>
      <c r="B105" s="259" t="s">
        <v>1031</v>
      </c>
      <c r="C105" s="274">
        <v>755160</v>
      </c>
      <c r="D105" s="237" t="s">
        <v>3</v>
      </c>
    </row>
    <row r="106" spans="1:4" s="253" customFormat="1" ht="15">
      <c r="A106" s="268">
        <v>72001</v>
      </c>
      <c r="B106" s="303" t="s">
        <v>1099</v>
      </c>
      <c r="C106" s="227"/>
      <c r="D106" s="270">
        <v>4000000</v>
      </c>
    </row>
    <row r="107" spans="1:4" s="253" customFormat="1" ht="15">
      <c r="A107" s="268">
        <v>75063</v>
      </c>
      <c r="B107" s="304" t="s">
        <v>1100</v>
      </c>
      <c r="C107" s="227"/>
      <c r="D107" s="270">
        <f>12538132.01-10239467.97</f>
        <v>2298664.0399999991</v>
      </c>
    </row>
    <row r="108" spans="1:4" s="253" customFormat="1" ht="15">
      <c r="A108" s="268">
        <v>75064</v>
      </c>
      <c r="B108" s="304" t="s">
        <v>1101</v>
      </c>
      <c r="C108" s="227"/>
      <c r="D108" s="270">
        <f>659902-15868.5</f>
        <v>644033.5</v>
      </c>
    </row>
    <row r="109" spans="1:4" s="253" customFormat="1" ht="15">
      <c r="A109" s="268">
        <v>75067</v>
      </c>
      <c r="B109" s="304" t="s">
        <v>1102</v>
      </c>
      <c r="C109" s="227"/>
      <c r="D109" s="258">
        <f>5000000-1020000-650000</f>
        <v>3330000</v>
      </c>
    </row>
    <row r="110" spans="1:4" ht="12.75">
      <c r="A110" s="305">
        <v>79400</v>
      </c>
      <c r="B110" s="306" t="s">
        <v>1103</v>
      </c>
      <c r="C110" s="271"/>
      <c r="D110" s="258">
        <v>510000</v>
      </c>
    </row>
    <row r="111" spans="1:4" ht="12.75">
      <c r="A111" s="307"/>
      <c r="B111" s="308" t="s">
        <v>1104</v>
      </c>
      <c r="C111" s="309" t="e">
        <f>SUM(#REF!)</f>
        <v>#REF!</v>
      </c>
      <c r="D111" s="272">
        <f>SUM(D106:D110)</f>
        <v>10782697.539999999</v>
      </c>
    </row>
    <row r="112" spans="1:4" s="253" customFormat="1" ht="15">
      <c r="A112" s="228"/>
      <c r="B112" s="228"/>
      <c r="C112" s="227"/>
      <c r="D112" s="266"/>
    </row>
    <row r="113" spans="1:4" ht="12.75">
      <c r="A113" s="252" t="s">
        <v>1105</v>
      </c>
      <c r="B113" s="252"/>
      <c r="D113" s="266"/>
    </row>
    <row r="114" spans="1:4" ht="12.75">
      <c r="A114" s="252"/>
      <c r="B114" s="252"/>
      <c r="D114" s="266"/>
    </row>
    <row r="115" spans="1:4" ht="12.75">
      <c r="A115" s="254" t="s">
        <v>1030</v>
      </c>
      <c r="B115" s="259" t="s">
        <v>1031</v>
      </c>
      <c r="C115" s="236" t="s">
        <v>3</v>
      </c>
      <c r="D115" s="237" t="s">
        <v>3</v>
      </c>
    </row>
    <row r="116" spans="1:4" ht="12.75">
      <c r="A116" s="289">
        <v>83000</v>
      </c>
      <c r="B116" s="310" t="s">
        <v>1106</v>
      </c>
      <c r="C116" s="257">
        <v>6000000</v>
      </c>
      <c r="D116" s="311">
        <v>240000</v>
      </c>
    </row>
    <row r="117" spans="1:4" ht="25.5">
      <c r="A117" s="289">
        <v>83100</v>
      </c>
      <c r="B117" s="310" t="s">
        <v>1107</v>
      </c>
      <c r="C117" s="240">
        <f>SUM(C116:C116)</f>
        <v>6000000</v>
      </c>
      <c r="D117" s="311">
        <v>60000</v>
      </c>
    </row>
    <row r="118" spans="1:4" ht="12.75">
      <c r="A118" s="289">
        <v>83101</v>
      </c>
      <c r="B118" s="312" t="s">
        <v>1108</v>
      </c>
      <c r="D118" s="311">
        <v>18000</v>
      </c>
    </row>
    <row r="119" spans="1:4" ht="12.75">
      <c r="A119" s="302"/>
      <c r="B119" s="252" t="s">
        <v>1109</v>
      </c>
      <c r="D119" s="241">
        <f>SUM(D116:D118)</f>
        <v>318000</v>
      </c>
    </row>
    <row r="120" spans="1:4" ht="12.75">
      <c r="A120" s="302"/>
      <c r="B120" s="228"/>
      <c r="C120" s="240">
        <f>C97</f>
        <v>61300</v>
      </c>
      <c r="D120" s="266"/>
    </row>
    <row r="121" spans="1:4" s="253" customFormat="1" ht="15">
      <c r="A121" s="228"/>
      <c r="B121" s="226"/>
      <c r="C121" s="227"/>
      <c r="D121" s="227"/>
    </row>
    <row r="122" spans="1:4" ht="12.75"/>
    <row r="123" spans="1:4" ht="12.75"/>
    <row r="124" spans="1:4" ht="12.75"/>
    <row r="125" spans="1:4" ht="12.75"/>
    <row r="126" spans="1:4" ht="12.75"/>
    <row r="127" spans="1:4" ht="12.75"/>
    <row r="128" spans="1:4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INGRESOS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Lorenzo Hernández</dc:creator>
  <cp:lastModifiedBy>Jorge Luis Lorenzo Hernández</cp:lastModifiedBy>
  <dcterms:created xsi:type="dcterms:W3CDTF">2019-07-29T12:53:37Z</dcterms:created>
  <dcterms:modified xsi:type="dcterms:W3CDTF">2019-07-29T12:55:45Z</dcterms:modified>
</cp:coreProperties>
</file>